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0" yWindow="0" windowWidth="20500" windowHeight="8140"/>
  </bookViews>
  <sheets>
    <sheet name="Obrazac 4" sheetId="1" r:id="rId1"/>
    <sheet name="Obracun godina-djeca (datum)" sheetId="2" r:id="rId2"/>
  </sheets>
  <definedNames>
    <definedName name="_xlnm._FilterDatabase" localSheetId="0" hidden="1">'Obrazac 4'!$AG$1:$AM$89</definedName>
    <definedName name="_xlnm.Print_Area" localSheetId="0">'Obrazac 4'!$A$1:$F$43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2" l="1"/>
  <c r="A2" i="2"/>
  <c r="AC39" i="1"/>
  <c r="E38" i="1"/>
  <c r="B38" i="1"/>
  <c r="F35" i="1"/>
  <c r="F36" i="1"/>
  <c r="AB34" i="1"/>
  <c r="AC34" i="1"/>
  <c r="X34" i="1"/>
  <c r="Y34" i="1"/>
  <c r="H34" i="1"/>
  <c r="AB33" i="1"/>
  <c r="AC33" i="1"/>
  <c r="X33" i="1"/>
  <c r="Y33" i="1"/>
  <c r="H33" i="1"/>
  <c r="AB32" i="1"/>
  <c r="AC32" i="1"/>
  <c r="X32" i="1"/>
  <c r="Z32" i="1"/>
  <c r="H32" i="1"/>
  <c r="AB31" i="1"/>
  <c r="AC31" i="1"/>
  <c r="X31" i="1"/>
  <c r="Z31" i="1"/>
  <c r="H31" i="1"/>
  <c r="AB30" i="1"/>
  <c r="AC30" i="1"/>
  <c r="X30" i="1"/>
  <c r="Z30" i="1"/>
  <c r="H30" i="1"/>
  <c r="AB29" i="1"/>
  <c r="AC29" i="1"/>
  <c r="X29" i="1"/>
  <c r="Z29" i="1"/>
  <c r="H29" i="1"/>
  <c r="AB28" i="1"/>
  <c r="X28" i="1"/>
  <c r="Z28" i="1"/>
  <c r="H28" i="1"/>
  <c r="AB27" i="1"/>
  <c r="AC27" i="1"/>
  <c r="X27" i="1"/>
  <c r="Z27" i="1"/>
  <c r="H27" i="1"/>
  <c r="AB26" i="1"/>
  <c r="AC26" i="1"/>
  <c r="X26" i="1"/>
  <c r="H26" i="1"/>
  <c r="AB25" i="1"/>
  <c r="AC25" i="1"/>
  <c r="X25" i="1"/>
  <c r="Z25" i="1"/>
  <c r="I25" i="1"/>
  <c r="L25" i="1"/>
  <c r="T25" i="1"/>
  <c r="T26" i="1"/>
  <c r="H25" i="1"/>
  <c r="E18" i="1"/>
  <c r="G25" i="1"/>
  <c r="G18" i="1"/>
  <c r="C36" i="1"/>
  <c r="D18" i="1"/>
  <c r="G16" i="1"/>
  <c r="B10" i="1"/>
  <c r="C8" i="1"/>
  <c r="F27" i="1"/>
  <c r="F29" i="1"/>
  <c r="Y31" i="1"/>
  <c r="G33" i="1"/>
  <c r="F25" i="1"/>
  <c r="M25" i="1"/>
  <c r="M26" i="1"/>
  <c r="M27" i="1"/>
  <c r="M28" i="1"/>
  <c r="M29" i="1"/>
  <c r="M30" i="1"/>
  <c r="M31" i="1"/>
  <c r="M32" i="1"/>
  <c r="M33" i="1"/>
  <c r="M34" i="1"/>
  <c r="M35" i="1"/>
  <c r="M36" i="1"/>
  <c r="G27" i="1"/>
  <c r="G29" i="1"/>
  <c r="G31" i="1"/>
  <c r="Y29" i="1"/>
  <c r="Y32" i="1"/>
  <c r="W25" i="1"/>
  <c r="Y30" i="1"/>
  <c r="K25" i="1"/>
  <c r="Y25" i="1"/>
  <c r="AA25" i="1"/>
  <c r="Y27" i="1"/>
  <c r="AE25" i="1"/>
  <c r="W26" i="1"/>
  <c r="T27" i="1"/>
  <c r="G35" i="1"/>
  <c r="N25" i="1"/>
  <c r="J25" i="1"/>
  <c r="O25" i="1"/>
  <c r="AD25" i="1"/>
  <c r="AB35" i="1"/>
  <c r="AC35" i="1"/>
  <c r="AC36" i="1"/>
  <c r="AC28" i="1"/>
  <c r="X35" i="1"/>
  <c r="Y35" i="1"/>
  <c r="Z26" i="1"/>
  <c r="Y28" i="1"/>
  <c r="S25" i="1"/>
  <c r="I26" i="1"/>
  <c r="Y26" i="1"/>
  <c r="F26" i="1"/>
  <c r="F28" i="1"/>
  <c r="F30" i="1"/>
  <c r="F32" i="1"/>
  <c r="B2" i="2"/>
  <c r="G26" i="1"/>
  <c r="G28" i="1"/>
  <c r="G30" i="1"/>
  <c r="G32" i="1"/>
  <c r="A35" i="1"/>
  <c r="C2" i="2"/>
  <c r="F31" i="1"/>
  <c r="F33" i="1"/>
  <c r="G34" i="1"/>
  <c r="C35" i="1"/>
  <c r="B19" i="2"/>
  <c r="A5" i="2"/>
  <c r="A7" i="2"/>
  <c r="U25" i="1"/>
  <c r="V25" i="1"/>
  <c r="O26" i="1"/>
  <c r="R25" i="1"/>
  <c r="A20" i="2"/>
  <c r="C20" i="2"/>
  <c r="B20" i="2"/>
  <c r="I27" i="1"/>
  <c r="S26" i="1"/>
  <c r="K26" i="1"/>
  <c r="N26" i="1"/>
  <c r="J26" i="1"/>
  <c r="L26" i="1"/>
  <c r="B6" i="2"/>
  <c r="A6" i="2"/>
  <c r="B7" i="2"/>
  <c r="W27" i="1"/>
  <c r="T28" i="1"/>
  <c r="P25" i="1"/>
  <c r="Q25" i="1"/>
  <c r="B5" i="2"/>
  <c r="Q26" i="1"/>
  <c r="P26" i="1"/>
  <c r="R26" i="1"/>
  <c r="O27" i="1"/>
  <c r="A9" i="2"/>
  <c r="B8" i="2"/>
  <c r="A8" i="2"/>
  <c r="B9" i="2"/>
  <c r="W28" i="1"/>
  <c r="T29" i="1"/>
  <c r="A23" i="2"/>
  <c r="AE26" i="1"/>
  <c r="AA26" i="1"/>
  <c r="AD26" i="1"/>
  <c r="V26" i="1"/>
  <c r="U26" i="1"/>
  <c r="L27" i="1"/>
  <c r="I28" i="1"/>
  <c r="S27" i="1"/>
  <c r="K27" i="1"/>
  <c r="J27" i="1"/>
  <c r="N27" i="1"/>
  <c r="U27" i="1"/>
  <c r="V27" i="1"/>
  <c r="A11" i="2"/>
  <c r="B10" i="2"/>
  <c r="A10" i="2"/>
  <c r="B11" i="2"/>
  <c r="B23" i="2"/>
  <c r="A25" i="2"/>
  <c r="B24" i="2"/>
  <c r="A24" i="2"/>
  <c r="B25" i="2"/>
  <c r="I29" i="1"/>
  <c r="S28" i="1"/>
  <c r="K28" i="1"/>
  <c r="N28" i="1"/>
  <c r="J28" i="1"/>
  <c r="L28" i="1"/>
  <c r="T30" i="1"/>
  <c r="W29" i="1"/>
  <c r="O28" i="1"/>
  <c r="R27" i="1"/>
  <c r="Q27" i="1"/>
  <c r="P27" i="1"/>
  <c r="AE27" i="1"/>
  <c r="AA27" i="1"/>
  <c r="AD27" i="1"/>
  <c r="W30" i="1"/>
  <c r="T31" i="1"/>
  <c r="A27" i="2"/>
  <c r="B26" i="2"/>
  <c r="A26" i="2"/>
  <c r="B27" i="2"/>
  <c r="V28" i="1"/>
  <c r="U28" i="1"/>
  <c r="AE28" i="1"/>
  <c r="AA28" i="1"/>
  <c r="AD28" i="1"/>
  <c r="R28" i="1"/>
  <c r="O29" i="1"/>
  <c r="L29" i="1"/>
  <c r="N29" i="1"/>
  <c r="I30" i="1"/>
  <c r="S29" i="1"/>
  <c r="K29" i="1"/>
  <c r="J29" i="1"/>
  <c r="Q28" i="1"/>
  <c r="P28" i="1"/>
  <c r="A13" i="2"/>
  <c r="B12" i="2"/>
  <c r="A12" i="2"/>
  <c r="B13" i="2"/>
  <c r="I31" i="1"/>
  <c r="S30" i="1"/>
  <c r="K30" i="1"/>
  <c r="N30" i="1"/>
  <c r="J30" i="1"/>
  <c r="L30" i="1"/>
  <c r="T32" i="1"/>
  <c r="W31" i="1"/>
  <c r="Q29" i="1"/>
  <c r="P29" i="1"/>
  <c r="A15" i="2"/>
  <c r="B14" i="2"/>
  <c r="A14" i="2"/>
  <c r="B15" i="2"/>
  <c r="AD29" i="1"/>
  <c r="AE29" i="1"/>
  <c r="AA29" i="1"/>
  <c r="U29" i="1"/>
  <c r="V29" i="1"/>
  <c r="O30" i="1"/>
  <c r="R29" i="1"/>
  <c r="A29" i="2"/>
  <c r="B28" i="2"/>
  <c r="A28" i="2"/>
  <c r="B29" i="2"/>
  <c r="A31" i="2"/>
  <c r="B32" i="2"/>
  <c r="A32" i="2"/>
  <c r="B30" i="2"/>
  <c r="A30" i="2"/>
  <c r="B31" i="2"/>
  <c r="AE30" i="1"/>
  <c r="AA30" i="1"/>
  <c r="AD30" i="1"/>
  <c r="V30" i="1"/>
  <c r="U30" i="1"/>
  <c r="A17" i="2"/>
  <c r="B18" i="2"/>
  <c r="A18" i="2"/>
  <c r="B16" i="2"/>
  <c r="A16" i="2"/>
  <c r="B17" i="2"/>
  <c r="W32" i="1"/>
  <c r="T33" i="1"/>
  <c r="N31" i="1"/>
  <c r="J31" i="1"/>
  <c r="L31" i="1"/>
  <c r="S31" i="1"/>
  <c r="I32" i="1"/>
  <c r="K31" i="1"/>
  <c r="R30" i="1"/>
  <c r="O31" i="1"/>
  <c r="Q30" i="1"/>
  <c r="P30" i="1"/>
  <c r="Q31" i="1"/>
  <c r="P31" i="1"/>
  <c r="R31" i="1"/>
  <c r="O32" i="1"/>
  <c r="AD31" i="1"/>
  <c r="AE31" i="1"/>
  <c r="AA31" i="1"/>
  <c r="L32" i="1"/>
  <c r="I33" i="1"/>
  <c r="S32" i="1"/>
  <c r="K32" i="1"/>
  <c r="N32" i="1"/>
  <c r="J32" i="1"/>
  <c r="V31" i="1"/>
  <c r="U31" i="1"/>
  <c r="W33" i="1"/>
  <c r="W35" i="1"/>
  <c r="T34" i="1"/>
  <c r="W34" i="1"/>
  <c r="P32" i="1"/>
  <c r="Q32" i="1"/>
  <c r="AE32" i="1"/>
  <c r="AA32" i="1"/>
  <c r="AD32" i="1"/>
  <c r="R32" i="1"/>
  <c r="O33" i="1"/>
  <c r="U36" i="1"/>
  <c r="V35" i="1"/>
  <c r="U35" i="1"/>
  <c r="V32" i="1"/>
  <c r="U32" i="1"/>
  <c r="N33" i="1"/>
  <c r="J33" i="1"/>
  <c r="I34" i="1"/>
  <c r="L33" i="1"/>
  <c r="K33" i="1"/>
  <c r="S33" i="1"/>
  <c r="Q33" i="1"/>
  <c r="P33" i="1"/>
  <c r="AA33" i="1"/>
  <c r="AA35" i="1"/>
  <c r="AE33" i="1"/>
  <c r="AE35" i="1"/>
  <c r="AD35" i="1"/>
  <c r="S34" i="1"/>
  <c r="K34" i="1"/>
  <c r="I35" i="1"/>
  <c r="N34" i="1"/>
  <c r="J34" i="1"/>
  <c r="L34" i="1"/>
  <c r="O34" i="1"/>
  <c r="R34" i="1"/>
  <c r="R33" i="1"/>
  <c r="R35" i="1"/>
  <c r="V33" i="1"/>
  <c r="U33" i="1"/>
  <c r="Q35" i="1"/>
  <c r="P35" i="1"/>
  <c r="J35" i="1"/>
  <c r="I36" i="1"/>
  <c r="L35" i="1"/>
  <c r="K35" i="1"/>
  <c r="Y36" i="1"/>
  <c r="Z35" i="1"/>
  <c r="Q34" i="1"/>
  <c r="P34" i="1"/>
  <c r="N35" i="1"/>
  <c r="AA34" i="1"/>
  <c r="AE34" i="1"/>
  <c r="V34" i="1"/>
  <c r="U34" i="1"/>
  <c r="S35" i="1"/>
  <c r="K36" i="1"/>
  <c r="J36" i="1"/>
  <c r="L36" i="1"/>
  <c r="P36" i="1"/>
  <c r="Q36" i="1"/>
  <c r="O36" i="1"/>
</calcChain>
</file>

<file path=xl/comments1.xml><?xml version="1.0" encoding="utf-8"?>
<comments xmlns="http://schemas.openxmlformats.org/spreadsheetml/2006/main">
  <authors>
    <author>Klaudijo Filcic</author>
    <author>KF</author>
  </authors>
  <commentList>
    <comment ref="A2" authorId="0">
      <text>
        <r>
          <rPr>
            <b/>
            <sz val="8"/>
            <color indexed="12"/>
            <rFont val="Tahoma"/>
            <family val="2"/>
            <charset val="238"/>
          </rPr>
          <t>klaudijo.filcic@vz-pgz.hr
09.09.2014.</t>
        </r>
      </text>
    </comment>
    <comment ref="A14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upiši rang ili naziv natjecanja, npr.:
</t>
        </r>
        <r>
          <rPr>
            <b/>
            <sz val="8"/>
            <color indexed="10"/>
            <rFont val="Tahoma"/>
            <family val="2"/>
          </rPr>
          <t>Županijsko vatrogasno natjecanje</t>
        </r>
      </text>
    </comment>
    <comment ref="E16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datum </t>
        </r>
        <r>
          <rPr>
            <b/>
            <sz val="8"/>
            <color indexed="81"/>
            <rFont val="Tahoma"/>
            <family val="2"/>
            <charset val="238"/>
          </rPr>
          <t xml:space="preserve">održavanja
natjecanja upiši u obliku:
</t>
        </r>
        <r>
          <rPr>
            <b/>
            <sz val="8"/>
            <color indexed="10"/>
            <rFont val="Tahoma"/>
            <family val="2"/>
          </rPr>
          <t>dd.mm.gggg</t>
        </r>
        <r>
          <rPr>
            <sz val="8"/>
            <color indexed="10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(PAZI: godina bez točke!)</t>
        </r>
      </text>
    </comment>
    <comment ref="E18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upiši šifru 
</t>
        </r>
        <r>
          <rPr>
            <sz val="8"/>
            <color indexed="81"/>
            <rFont val="Tahoma"/>
            <family val="2"/>
            <charset val="238"/>
          </rPr>
          <t>(koristi donju tablicu)</t>
        </r>
      </text>
    </comment>
    <comment ref="E43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ime zapovjednika VP
</t>
        </r>
        <r>
          <rPr>
            <sz val="8"/>
            <color indexed="81"/>
            <rFont val="Tahoma"/>
            <family val="2"/>
            <charset val="238"/>
          </rPr>
          <t>(ili odgovorne osobe za sastavljanje obrasca)</t>
        </r>
      </text>
    </comment>
  </commentList>
</comments>
</file>

<file path=xl/comments2.xml><?xml version="1.0" encoding="utf-8"?>
<comments xmlns="http://schemas.openxmlformats.org/spreadsheetml/2006/main">
  <authors>
    <author>Klaudijo Filcic</author>
  </authors>
  <commentList>
    <comment ref="B1" authorId="0">
      <text>
        <r>
          <rPr>
            <sz val="8"/>
            <color indexed="81"/>
            <rFont val="Tahoma"/>
            <family val="2"/>
            <charset val="238"/>
          </rPr>
          <t>unijeti datum natjecanja: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10"/>
            <rFont val="Tahoma"/>
            <family val="2"/>
            <charset val="238"/>
          </rPr>
          <t>dd.mm.gggg</t>
        </r>
      </text>
    </comment>
  </commentList>
</comments>
</file>

<file path=xl/sharedStrings.xml><?xml version="1.0" encoding="utf-8"?>
<sst xmlns="http://schemas.openxmlformats.org/spreadsheetml/2006/main" count="781" uniqueCount="372">
  <si>
    <t>Obrazac 4</t>
  </si>
  <si>
    <t>KATEGORIJA I KLASA:</t>
  </si>
  <si>
    <t xml:space="preserve"> - odaberi -</t>
  </si>
  <si>
    <t>R.br.</t>
  </si>
  <si>
    <t>VM_ID</t>
  </si>
  <si>
    <t>Vrsta</t>
  </si>
  <si>
    <t>Podvrsta</t>
  </si>
  <si>
    <t>Pozarno podrucje</t>
  </si>
  <si>
    <t>Naziv</t>
  </si>
  <si>
    <t>udružen</t>
  </si>
  <si>
    <t>Sjedište</t>
  </si>
  <si>
    <t>Mjesto</t>
  </si>
  <si>
    <t>v.12.8</t>
  </si>
  <si>
    <t>1</t>
  </si>
  <si>
    <t>DVD</t>
  </si>
  <si>
    <t>B</t>
  </si>
  <si>
    <t>VII.PP</t>
  </si>
  <si>
    <t xml:space="preserve">DVD Bakar  </t>
  </si>
  <si>
    <t>PP Bakar-Kostrena-Kraljevica</t>
  </si>
  <si>
    <t>Bakru</t>
  </si>
  <si>
    <t>2</t>
  </si>
  <si>
    <t>C</t>
  </si>
  <si>
    <t>XII.PP</t>
  </si>
  <si>
    <t xml:space="preserve">DVD Baška  </t>
  </si>
  <si>
    <t>VZO Krk</t>
  </si>
  <si>
    <t>Baški</t>
  </si>
  <si>
    <t>VATROGASNA ZAJEDNICA                                    PRIMORSKO-GORANSKE ŽUPANIJE</t>
  </si>
  <si>
    <t>3</t>
  </si>
  <si>
    <t>V.PP</t>
  </si>
  <si>
    <t xml:space="preserve">DVD Begovo Razdolje  </t>
  </si>
  <si>
    <t>Područje Fužine - Mrkopalj</t>
  </si>
  <si>
    <t>Begovom Razdolju</t>
  </si>
  <si>
    <t>D-M</t>
  </si>
  <si>
    <t>Djeca - muški</t>
  </si>
  <si>
    <t>4</t>
  </si>
  <si>
    <t>I.PP</t>
  </si>
  <si>
    <t xml:space="preserve">DVD Blaževci Plemenitaši  </t>
  </si>
  <si>
    <t>VZG Vrbovsko</t>
  </si>
  <si>
    <t>Blaževcima</t>
  </si>
  <si>
    <t>(Naziv vatrogasne zajednice županije)</t>
  </si>
  <si>
    <t>D-Ž</t>
  </si>
  <si>
    <t>Djeca - žene</t>
  </si>
  <si>
    <t>5</t>
  </si>
  <si>
    <t>VI.PP</t>
  </si>
  <si>
    <t xml:space="preserve">DVD Bribir  </t>
  </si>
  <si>
    <t>Područje Crikvenica - Vinodol</t>
  </si>
  <si>
    <t>Bribiru</t>
  </si>
  <si>
    <t>M-M</t>
  </si>
  <si>
    <t>Mladež - muški</t>
  </si>
  <si>
    <t>6</t>
  </si>
  <si>
    <t>III.PP</t>
  </si>
  <si>
    <t xml:space="preserve">DVD Brod Moravice   </t>
  </si>
  <si>
    <t>Područje Delnice</t>
  </si>
  <si>
    <t>Brod Moravicama</t>
  </si>
  <si>
    <t>(Naziv požarnog područja / Vatrogasne zajednice grada - općine - područja)</t>
  </si>
  <si>
    <t>M-Ž</t>
  </si>
  <si>
    <t>Mladež - žene</t>
  </si>
  <si>
    <t>7</t>
  </si>
  <si>
    <t>DVD Brod na Kupi</t>
  </si>
  <si>
    <t>Brodu na Kupi</t>
  </si>
  <si>
    <t>VM-ID</t>
  </si>
  <si>
    <t>DVD-A</t>
  </si>
  <si>
    <t>Muški - A</t>
  </si>
  <si>
    <t>8</t>
  </si>
  <si>
    <t xml:space="preserve">DVD Bukov Vrh  </t>
  </si>
  <si>
    <t>VZO Skrad</t>
  </si>
  <si>
    <t>Bukovom Vrhu</t>
  </si>
  <si>
    <t>(Naziv vatrogasne postrojbe)</t>
  </si>
  <si>
    <t>DVD-B</t>
  </si>
  <si>
    <t>Muški - B</t>
  </si>
  <si>
    <t>9</t>
  </si>
  <si>
    <t>XIV.PP</t>
  </si>
  <si>
    <t xml:space="preserve">DVD Cres  </t>
  </si>
  <si>
    <t>Područje Cres - Lošinj</t>
  </si>
  <si>
    <t>Cresu</t>
  </si>
  <si>
    <t>POPIS NATJECATELJA</t>
  </si>
  <si>
    <t>PVP-A</t>
  </si>
  <si>
    <t>PVP - A</t>
  </si>
  <si>
    <t>10</t>
  </si>
  <si>
    <t xml:space="preserve">DVD Crikvenica  </t>
  </si>
  <si>
    <t>Crikvenici</t>
  </si>
  <si>
    <t>za nastup na</t>
  </si>
  <si>
    <t>PVP-B</t>
  </si>
  <si>
    <t>PVP - B</t>
  </si>
  <si>
    <t>11</t>
  </si>
  <si>
    <t>DVD Crni Lug</t>
  </si>
  <si>
    <t>Crnom Lugu</t>
  </si>
  <si>
    <t>Ž-A</t>
  </si>
  <si>
    <t>Žene - A</t>
  </si>
  <si>
    <t>12</t>
  </si>
  <si>
    <t>A</t>
  </si>
  <si>
    <t>IV.PP</t>
  </si>
  <si>
    <t xml:space="preserve">DVD Čabar  </t>
  </si>
  <si>
    <t>VZG Čabar</t>
  </si>
  <si>
    <t>Čabru</t>
  </si>
  <si>
    <t>Ž-B</t>
  </si>
  <si>
    <t>Žene - B</t>
  </si>
  <si>
    <t>13</t>
  </si>
  <si>
    <t>VIII.PP</t>
  </si>
  <si>
    <t xml:space="preserve">DVD Čavle  </t>
  </si>
  <si>
    <t>Područje Grobinštine</t>
  </si>
  <si>
    <t>Čavlima</t>
  </si>
  <si>
    <t>u:</t>
  </si>
  <si>
    <t>Delnicama</t>
  </si>
  <si>
    <t>dana:</t>
  </si>
  <si>
    <t>14</t>
  </si>
  <si>
    <t xml:space="preserve">DVD Delnice  </t>
  </si>
  <si>
    <t>16</t>
  </si>
  <si>
    <t xml:space="preserve">DVD Divjake  </t>
  </si>
  <si>
    <t>Divjakama</t>
  </si>
  <si>
    <t>odabrana kategorija i klasa:</t>
  </si>
  <si>
    <t>17</t>
  </si>
  <si>
    <t xml:space="preserve">DVD Dobrinj   </t>
  </si>
  <si>
    <t>Dobrinju</t>
  </si>
  <si>
    <r>
      <t>11</t>
    </r>
    <r>
      <rPr>
        <i/>
        <sz val="9"/>
        <rFont val="Arial"/>
        <family val="2"/>
      </rPr>
      <t xml:space="preserve"> (DJECA-MUŠKI)</t>
    </r>
  </si>
  <si>
    <r>
      <t>31</t>
    </r>
    <r>
      <rPr>
        <i/>
        <sz val="9"/>
        <rFont val="Arial"/>
        <family val="2"/>
      </rPr>
      <t xml:space="preserve"> (DVD-A)</t>
    </r>
  </si>
  <si>
    <r>
      <t>34</t>
    </r>
    <r>
      <rPr>
        <i/>
        <sz val="9"/>
        <rFont val="Arial"/>
        <family val="2"/>
      </rPr>
      <t xml:space="preserve"> (DVD-B)</t>
    </r>
  </si>
  <si>
    <t>18</t>
  </si>
  <si>
    <t>XI.PP</t>
  </si>
  <si>
    <t xml:space="preserve">DVD Drenova  </t>
  </si>
  <si>
    <t>VZG Rijeka</t>
  </si>
  <si>
    <t>Rijeci</t>
  </si>
  <si>
    <t>Dražicama</t>
  </si>
  <si>
    <r>
      <t xml:space="preserve">12 </t>
    </r>
    <r>
      <rPr>
        <i/>
        <sz val="9"/>
        <rFont val="Arial"/>
        <family val="2"/>
      </rPr>
      <t>(DJECA-ŽENE)</t>
    </r>
  </si>
  <si>
    <r>
      <t>32</t>
    </r>
    <r>
      <rPr>
        <i/>
        <sz val="9"/>
        <rFont val="Arial"/>
        <family val="2"/>
      </rPr>
      <t xml:space="preserve"> (PVP-A)</t>
    </r>
  </si>
  <si>
    <r>
      <t>35</t>
    </r>
    <r>
      <rPr>
        <i/>
        <sz val="9"/>
        <rFont val="Arial"/>
        <family val="2"/>
      </rPr>
      <t xml:space="preserve"> (PVP-B)</t>
    </r>
  </si>
  <si>
    <t>19</t>
  </si>
  <si>
    <t xml:space="preserve">DVD Fužine  </t>
  </si>
  <si>
    <t>VZO Fužine</t>
  </si>
  <si>
    <t>Fužinama</t>
  </si>
  <si>
    <r>
      <t>21</t>
    </r>
    <r>
      <rPr>
        <i/>
        <sz val="9"/>
        <rFont val="Arial"/>
        <family val="2"/>
      </rPr>
      <t xml:space="preserve"> (MLADEŽ-MUŠKI)</t>
    </r>
  </si>
  <si>
    <r>
      <t xml:space="preserve">33 </t>
    </r>
    <r>
      <rPr>
        <i/>
        <sz val="9"/>
        <rFont val="Arial"/>
        <family val="2"/>
      </rPr>
      <t>(ŽENE-A)</t>
    </r>
  </si>
  <si>
    <r>
      <t xml:space="preserve">36 </t>
    </r>
    <r>
      <rPr>
        <i/>
        <sz val="9"/>
        <rFont val="Arial"/>
        <family val="2"/>
      </rPr>
      <t>(ŽENE-B)</t>
    </r>
  </si>
  <si>
    <t>20</t>
  </si>
  <si>
    <t xml:space="preserve">DVD Gerovo  </t>
  </si>
  <si>
    <t>Gerovu</t>
  </si>
  <si>
    <r>
      <t>22</t>
    </r>
    <r>
      <rPr>
        <i/>
        <sz val="9"/>
        <rFont val="Arial"/>
        <family val="2"/>
      </rPr>
      <t xml:space="preserve"> (MLADEŽ-ŽENE)</t>
    </r>
  </si>
  <si>
    <t>21</t>
  </si>
  <si>
    <t xml:space="preserve">DVD Gomirje  </t>
  </si>
  <si>
    <t>Gomirju</t>
  </si>
  <si>
    <t>DJECA - NOVO</t>
  </si>
  <si>
    <t>MLADEŽ - NOVO</t>
  </si>
  <si>
    <t>Odrasli-A</t>
  </si>
  <si>
    <t>Odrasli-B-novo</t>
  </si>
  <si>
    <t>22</t>
  </si>
  <si>
    <t>IX.PP</t>
  </si>
  <si>
    <t xml:space="preserve">DVD Halubjan  </t>
  </si>
  <si>
    <t>Područje Kastav-Klana-Viškovo</t>
  </si>
  <si>
    <t>Viškovu</t>
  </si>
  <si>
    <t>Redni broj</t>
  </si>
  <si>
    <t>Ime i prezime</t>
  </si>
  <si>
    <t>Broj članske knjižice</t>
  </si>
  <si>
    <t>Datum rođenja</t>
  </si>
  <si>
    <t>Obračun godina</t>
  </si>
  <si>
    <t>Provjeri kontrole!</t>
  </si>
  <si>
    <t>godina rođenja</t>
  </si>
  <si>
    <t>datum natjecanja</t>
  </si>
  <si>
    <t>datum (dd)</t>
  </si>
  <si>
    <t>datum (mm)</t>
  </si>
  <si>
    <t>datum (gg)</t>
  </si>
  <si>
    <t>kategorija natjecanja</t>
  </si>
  <si>
    <t>izračun godina</t>
  </si>
  <si>
    <t>posljednji datum</t>
  </si>
  <si>
    <t>obračun godina</t>
  </si>
  <si>
    <t>opisno</t>
  </si>
  <si>
    <t>kontrola</t>
  </si>
  <si>
    <t>23</t>
  </si>
  <si>
    <t xml:space="preserve">DVD Hreljin  </t>
  </si>
  <si>
    <t>Hreljinu</t>
  </si>
  <si>
    <t>24</t>
  </si>
  <si>
    <t xml:space="preserve">DVD Hribac  </t>
  </si>
  <si>
    <t>Hribcu</t>
  </si>
  <si>
    <t>25</t>
  </si>
  <si>
    <t xml:space="preserve">DVD Ilovik  </t>
  </si>
  <si>
    <t>GVZ Mali Lošinj</t>
  </si>
  <si>
    <t>Iloviku</t>
  </si>
  <si>
    <t>26</t>
  </si>
  <si>
    <t xml:space="preserve">DVD Ivan Zoretić-Španac  </t>
  </si>
  <si>
    <t>Jablanu</t>
  </si>
  <si>
    <t>27</t>
  </si>
  <si>
    <t xml:space="preserve">DVD Jablan  </t>
  </si>
  <si>
    <t>Kastvu</t>
  </si>
  <si>
    <t>28</t>
  </si>
  <si>
    <t xml:space="preserve">DVD Kastav  </t>
  </si>
  <si>
    <t>Klani</t>
  </si>
  <si>
    <t>29</t>
  </si>
  <si>
    <t xml:space="preserve">DVD Klana  </t>
  </si>
  <si>
    <t>Kostreni</t>
  </si>
  <si>
    <t>30</t>
  </si>
  <si>
    <t xml:space="preserve">DVD Kostrena  </t>
  </si>
  <si>
    <t>Kraljevici</t>
  </si>
  <si>
    <t>31</t>
  </si>
  <si>
    <t xml:space="preserve">DVD Kraljevica  </t>
  </si>
  <si>
    <t>Krku</t>
  </si>
  <si>
    <t>ne ulazi u obračun!</t>
  </si>
  <si>
    <t>32</t>
  </si>
  <si>
    <t>D</t>
  </si>
  <si>
    <t>X.PP</t>
  </si>
  <si>
    <t xml:space="preserve">DVD Kras  </t>
  </si>
  <si>
    <t>PVZ Liburnija</t>
  </si>
  <si>
    <t>Šapjanama</t>
  </si>
  <si>
    <t>Kupjaku</t>
  </si>
  <si>
    <t>xxx</t>
  </si>
  <si>
    <t>33</t>
  </si>
  <si>
    <t xml:space="preserve">DVD Krk  </t>
  </si>
  <si>
    <t>Liču</t>
  </si>
  <si>
    <t>34</t>
  </si>
  <si>
    <t>II.PP</t>
  </si>
  <si>
    <t xml:space="preserve">DVD Kupjak  </t>
  </si>
  <si>
    <t>VZO Ravna Gora</t>
  </si>
  <si>
    <t>Lokvama</t>
  </si>
  <si>
    <t>35</t>
  </si>
  <si>
    <t xml:space="preserve">DVD Lič  </t>
  </si>
  <si>
    <t>Loparu</t>
  </si>
  <si>
    <t>sa</t>
  </si>
  <si>
    <t>štafeta</t>
  </si>
  <si>
    <t>bez</t>
  </si>
  <si>
    <t>36</t>
  </si>
  <si>
    <t xml:space="preserve">DVD Lokve  </t>
  </si>
  <si>
    <t>Lovranu</t>
  </si>
  <si>
    <t>U</t>
  </si>
  <si>
    <t>37</t>
  </si>
  <si>
    <t>XIII.PP</t>
  </si>
  <si>
    <t xml:space="preserve">DVD Lopar  </t>
  </si>
  <si>
    <t>VZO Rab</t>
  </si>
  <si>
    <t>Lukovdolu</t>
  </si>
  <si>
    <t>38</t>
  </si>
  <si>
    <t xml:space="preserve">DVD Lošinj  </t>
  </si>
  <si>
    <t>Malom Lošinju</t>
  </si>
  <si>
    <t>Ovjerava</t>
  </si>
  <si>
    <t>M.P.</t>
  </si>
  <si>
    <t>39</t>
  </si>
  <si>
    <t xml:space="preserve">DVD Lovran  </t>
  </si>
  <si>
    <t>Martinšćici</t>
  </si>
  <si>
    <t>VZ P-GŽ:</t>
  </si>
  <si>
    <t>Zapovjednik VP:</t>
  </si>
  <si>
    <t>40</t>
  </si>
  <si>
    <t xml:space="preserve">DVD Lukovdol  </t>
  </si>
  <si>
    <t>Moravicama</t>
  </si>
  <si>
    <t>41</t>
  </si>
  <si>
    <t>DVD Martinšćica</t>
  </si>
  <si>
    <t>Mošćeničkoj Dragi</t>
  </si>
  <si>
    <t>42</t>
  </si>
  <si>
    <t xml:space="preserve">DVD Mrkopalj  </t>
  </si>
  <si>
    <t>Mrkoplju</t>
  </si>
  <si>
    <t>43</t>
  </si>
  <si>
    <t xml:space="preserve">DVD Nerezine  </t>
  </si>
  <si>
    <t>Nerezinama</t>
  </si>
  <si>
    <t>Munama</t>
  </si>
  <si>
    <t>45</t>
  </si>
  <si>
    <t xml:space="preserve">DVD Njivice  </t>
  </si>
  <si>
    <t>Njivicama</t>
  </si>
  <si>
    <t>46</t>
  </si>
  <si>
    <t xml:space="preserve">DVD Opatija  </t>
  </si>
  <si>
    <t>Opatiji</t>
  </si>
  <si>
    <t>Novom Vinodolskom</t>
  </si>
  <si>
    <t>47</t>
  </si>
  <si>
    <t xml:space="preserve">DVD Plešce  </t>
  </si>
  <si>
    <t>Plešcima</t>
  </si>
  <si>
    <t>48</t>
  </si>
  <si>
    <t xml:space="preserve">DVD Prezid  </t>
  </si>
  <si>
    <t>Prezidu</t>
  </si>
  <si>
    <t>49</t>
  </si>
  <si>
    <t xml:space="preserve">DVD Rab  </t>
  </si>
  <si>
    <t>Rabu</t>
  </si>
  <si>
    <t>50</t>
  </si>
  <si>
    <t xml:space="preserve">DVD Ravna Gora  </t>
  </si>
  <si>
    <t>Ravnoj Gori</t>
  </si>
  <si>
    <t>44</t>
  </si>
  <si>
    <t>DVD San Marino</t>
  </si>
  <si>
    <t>51</t>
  </si>
  <si>
    <t xml:space="preserve">DVD Severin na Kupi  </t>
  </si>
  <si>
    <t>Severinu na Kupi</t>
  </si>
  <si>
    <t>52</t>
  </si>
  <si>
    <t xml:space="preserve">DVD Sisol  </t>
  </si>
  <si>
    <t>53</t>
  </si>
  <si>
    <t xml:space="preserve">DVD Skrad  </t>
  </si>
  <si>
    <t>Skradu</t>
  </si>
  <si>
    <t>54</t>
  </si>
  <si>
    <t xml:space="preserve">DVD Stara Sušica  </t>
  </si>
  <si>
    <t>Staroj Sušici</t>
  </si>
  <si>
    <t>55</t>
  </si>
  <si>
    <t xml:space="preserve">DVD Stari Laz  </t>
  </si>
  <si>
    <t>Starom Lazu</t>
  </si>
  <si>
    <t>56</t>
  </si>
  <si>
    <t xml:space="preserve">DVD Sunger  </t>
  </si>
  <si>
    <t>Sungeru</t>
  </si>
  <si>
    <t>57</t>
  </si>
  <si>
    <t xml:space="preserve">DVD Susak  </t>
  </si>
  <si>
    <t>Susku</t>
  </si>
  <si>
    <t>58</t>
  </si>
  <si>
    <t xml:space="preserve">DVD Sušak  </t>
  </si>
  <si>
    <t>59</t>
  </si>
  <si>
    <t xml:space="preserve">DVD Škalnica   </t>
  </si>
  <si>
    <t>Škalnici</t>
  </si>
  <si>
    <t>60</t>
  </si>
  <si>
    <t xml:space="preserve">DVD Škrljevo  </t>
  </si>
  <si>
    <t>Škrljevu</t>
  </si>
  <si>
    <t>61</t>
  </si>
  <si>
    <t xml:space="preserve">DVD Tršće  </t>
  </si>
  <si>
    <t>Tršću</t>
  </si>
  <si>
    <t>62</t>
  </si>
  <si>
    <t xml:space="preserve">DVD Unije  </t>
  </si>
  <si>
    <t>Unijama</t>
  </si>
  <si>
    <t>63</t>
  </si>
  <si>
    <t xml:space="preserve">DVD Veliki Jadrč  </t>
  </si>
  <si>
    <t>Velikom Jadrču</t>
  </si>
  <si>
    <t>64</t>
  </si>
  <si>
    <t xml:space="preserve">DVD Vrata  </t>
  </si>
  <si>
    <t>Vratima</t>
  </si>
  <si>
    <t>65</t>
  </si>
  <si>
    <t xml:space="preserve">DVD Vrbnik  </t>
  </si>
  <si>
    <t>Vrbniku</t>
  </si>
  <si>
    <t>66</t>
  </si>
  <si>
    <t xml:space="preserve">DVD Vrbovsko  </t>
  </si>
  <si>
    <t>Vrbovskom</t>
  </si>
  <si>
    <t>67</t>
  </si>
  <si>
    <t xml:space="preserve">DVD Zlobin  </t>
  </si>
  <si>
    <t>Zlobinu</t>
  </si>
  <si>
    <t>68</t>
  </si>
  <si>
    <t xml:space="preserve">DVD Željezničar  </t>
  </si>
  <si>
    <t>78</t>
  </si>
  <si>
    <t>VZ</t>
  </si>
  <si>
    <t>G</t>
  </si>
  <si>
    <t>69</t>
  </si>
  <si>
    <t>PVP</t>
  </si>
  <si>
    <t>J</t>
  </si>
  <si>
    <t>JVP Grada Crikvenice</t>
  </si>
  <si>
    <t>70</t>
  </si>
  <si>
    <t>JVP Grada Delnice</t>
  </si>
  <si>
    <t>71</t>
  </si>
  <si>
    <t>JVP Grada Krka</t>
  </si>
  <si>
    <t>72</t>
  </si>
  <si>
    <t>JVP Grada Mali Lošinj</t>
  </si>
  <si>
    <t>73</t>
  </si>
  <si>
    <t>JVP Opatija</t>
  </si>
  <si>
    <t>74</t>
  </si>
  <si>
    <t>JVP Grada Rijeke</t>
  </si>
  <si>
    <t>75</t>
  </si>
  <si>
    <t>VP-G</t>
  </si>
  <si>
    <t>I</t>
  </si>
  <si>
    <t>PVP MLAKA</t>
  </si>
  <si>
    <t>76</t>
  </si>
  <si>
    <t>PVP URINJ</t>
  </si>
  <si>
    <t>77</t>
  </si>
  <si>
    <t>Ž</t>
  </si>
  <si>
    <t>VZ Primorsko-goranske županije</t>
  </si>
  <si>
    <t>HVZ</t>
  </si>
  <si>
    <t>79</t>
  </si>
  <si>
    <t>VZG Čabra</t>
  </si>
  <si>
    <t>80</t>
  </si>
  <si>
    <t>81</t>
  </si>
  <si>
    <t>82</t>
  </si>
  <si>
    <t>O</t>
  </si>
  <si>
    <t>83</t>
  </si>
  <si>
    <t>P</t>
  </si>
  <si>
    <t>VZO Krka</t>
  </si>
  <si>
    <t>84</t>
  </si>
  <si>
    <t>VZO Raba</t>
  </si>
  <si>
    <t>85</t>
  </si>
  <si>
    <t>86</t>
  </si>
  <si>
    <t>87</t>
  </si>
  <si>
    <t>VZP Bakar-Kostrena</t>
  </si>
  <si>
    <t>88</t>
  </si>
  <si>
    <t>VZP Liburnije</t>
  </si>
  <si>
    <t>datum natjecanja:</t>
  </si>
  <si>
    <t>početak</t>
  </si>
  <si>
    <t>kraj</t>
  </si>
  <si>
    <t>god.života</t>
  </si>
  <si>
    <t>DJECA</t>
  </si>
  <si>
    <t>MLADEŽ</t>
  </si>
  <si>
    <t xml:space="preserve">16. rokovsko vatrogasno natjecanje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</si>
</sst>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/"/>
    <numFmt numFmtId="165" formatCode="yy"/>
  </numFmts>
  <fonts count="3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sz val="11"/>
      <name val="Tahoma"/>
      <family val="2"/>
      <charset val="238"/>
    </font>
    <font>
      <sz val="10"/>
      <color indexed="8"/>
      <name val="Arial"/>
      <family val="2"/>
      <charset val="238"/>
    </font>
    <font>
      <sz val="10"/>
      <color indexed="22"/>
      <name val="Tahoma"/>
      <family val="2"/>
    </font>
    <font>
      <sz val="12"/>
      <name val="Tahoma"/>
      <family val="2"/>
    </font>
    <font>
      <sz val="10"/>
      <name val="Tahoma"/>
      <family val="2"/>
      <charset val="238"/>
    </font>
    <font>
      <i/>
      <sz val="8"/>
      <name val="Tahoma"/>
      <family val="2"/>
    </font>
    <font>
      <b/>
      <u/>
      <sz val="12"/>
      <name val="Tahoma"/>
      <family val="2"/>
    </font>
    <font>
      <sz val="11"/>
      <color indexed="22"/>
      <name val="Tahoma"/>
      <family val="2"/>
    </font>
    <font>
      <b/>
      <sz val="11"/>
      <color indexed="22"/>
      <name val="Tahoma"/>
      <family val="2"/>
    </font>
    <font>
      <b/>
      <sz val="14"/>
      <name val="Tahoma"/>
      <family val="2"/>
    </font>
    <font>
      <sz val="11"/>
      <name val="Tahoma"/>
      <family val="2"/>
    </font>
    <font>
      <b/>
      <sz val="12"/>
      <color indexed="1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4"/>
      <color indexed="10"/>
      <name val="Tahoma"/>
      <family val="2"/>
      <charset val="238"/>
    </font>
    <font>
      <b/>
      <i/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  <charset val="238"/>
    </font>
    <font>
      <sz val="8"/>
      <name val="Tahoma"/>
      <family val="2"/>
    </font>
    <font>
      <b/>
      <sz val="12"/>
      <name val="Tahoma"/>
      <family val="2"/>
      <charset val="238"/>
    </font>
    <font>
      <b/>
      <sz val="10"/>
      <color indexed="10"/>
      <name val="Arial"/>
      <family val="2"/>
      <charset val="238"/>
    </font>
    <font>
      <sz val="11"/>
      <name val="Arial"/>
      <family val="2"/>
      <charset val="238"/>
    </font>
    <font>
      <i/>
      <sz val="12"/>
      <name val="Tahoma"/>
      <family val="2"/>
    </font>
    <font>
      <b/>
      <sz val="8"/>
      <color indexed="12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8"/>
      <color indexed="10"/>
      <name val="Tahoma"/>
      <family val="2"/>
    </font>
    <font>
      <sz val="8"/>
      <color indexed="10"/>
      <name val="Tahoma"/>
      <family val="2"/>
      <charset val="238"/>
    </font>
    <font>
      <sz val="8"/>
      <color indexed="81"/>
      <name val="Tahoma"/>
      <family val="2"/>
      <charset val="238"/>
    </font>
    <font>
      <sz val="14"/>
      <name val="Arial"/>
      <charset val="238"/>
    </font>
    <font>
      <b/>
      <sz val="14"/>
      <name val="Arial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203">
    <xf numFmtId="0" fontId="0" fillId="0" borderId="0" xfId="0"/>
    <xf numFmtId="49" fontId="2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ill="1" applyAlignment="1" applyProtection="1">
      <alignment horizontal="center"/>
      <protection hidden="1"/>
    </xf>
    <xf numFmtId="0" fontId="5" fillId="0" borderId="0" xfId="1" applyFont="1" applyFill="1" applyAlignment="1" applyProtection="1">
      <alignment horizontal="center"/>
      <protection hidden="1"/>
    </xf>
    <xf numFmtId="0" fontId="1" fillId="0" borderId="0" xfId="1" applyFill="1" applyAlignment="1" applyProtection="1">
      <alignment horizontal="center" vertical="center"/>
      <protection hidden="1"/>
    </xf>
    <xf numFmtId="0" fontId="6" fillId="3" borderId="4" xfId="2" applyFont="1" applyFill="1" applyBorder="1" applyAlignment="1">
      <alignment horizontal="center"/>
    </xf>
    <xf numFmtId="0" fontId="6" fillId="3" borderId="5" xfId="2" applyFont="1" applyFill="1" applyBorder="1" applyAlignment="1">
      <alignment horizontal="center"/>
    </xf>
    <xf numFmtId="0" fontId="6" fillId="3" borderId="4" xfId="2" applyFont="1" applyFill="1" applyBorder="1" applyAlignment="1">
      <alignment horizontal="left"/>
    </xf>
    <xf numFmtId="0" fontId="7" fillId="0" borderId="0" xfId="1" applyFont="1" applyFill="1" applyAlignment="1" applyProtection="1">
      <alignment horizontal="center"/>
      <protection hidden="1"/>
    </xf>
    <xf numFmtId="0" fontId="2" fillId="0" borderId="0" xfId="1" applyFont="1" applyFill="1" applyAlignment="1" applyProtection="1">
      <alignment horizontal="left" vertical="center"/>
      <protection hidden="1"/>
    </xf>
    <xf numFmtId="0" fontId="6" fillId="0" borderId="6" xfId="2" applyFont="1" applyFill="1" applyBorder="1" applyAlignment="1">
      <alignment horizontal="center" wrapText="1"/>
    </xf>
    <xf numFmtId="0" fontId="6" fillId="0" borderId="6" xfId="2" applyFont="1" applyFill="1" applyBorder="1" applyAlignment="1">
      <alignment horizontal="right" wrapText="1"/>
    </xf>
    <xf numFmtId="0" fontId="6" fillId="0" borderId="6" xfId="2" applyFont="1" applyFill="1" applyBorder="1" applyAlignment="1">
      <alignment wrapText="1"/>
    </xf>
    <xf numFmtId="0" fontId="6" fillId="0" borderId="6" xfId="2" quotePrefix="1" applyFont="1" applyFill="1" applyBorder="1" applyAlignment="1">
      <alignment wrapText="1"/>
    </xf>
    <xf numFmtId="0" fontId="1" fillId="0" borderId="0" xfId="1" applyFont="1" applyFill="1" applyAlignment="1" applyProtection="1">
      <alignment horizontal="left"/>
      <protection hidden="1"/>
    </xf>
    <xf numFmtId="0" fontId="2" fillId="0" borderId="0" xfId="1" quotePrefix="1" applyFont="1" applyFill="1" applyAlignment="1" applyProtection="1">
      <alignment horizontal="left" vertical="center"/>
      <protection hidden="1"/>
    </xf>
    <xf numFmtId="0" fontId="8" fillId="0" borderId="0" xfId="1" applyFont="1" applyFill="1" applyAlignment="1" applyProtection="1">
      <alignment horizontal="center" vertical="center"/>
      <protection hidden="1"/>
    </xf>
    <xf numFmtId="0" fontId="1" fillId="0" borderId="0" xfId="1" applyFont="1" applyFill="1" applyAlignment="1" applyProtection="1">
      <alignment horizontal="left" vertical="center"/>
      <protection hidden="1"/>
    </xf>
    <xf numFmtId="0" fontId="9" fillId="0" borderId="0" xfId="1" applyFont="1" applyFill="1" applyAlignment="1" applyProtection="1">
      <alignment horizontal="left" vertical="center"/>
      <protection hidden="1"/>
    </xf>
    <xf numFmtId="0" fontId="9" fillId="0" borderId="0" xfId="1" applyFont="1" applyFill="1" applyAlignment="1" applyProtection="1">
      <alignment horizontal="left"/>
      <protection hidden="1"/>
    </xf>
    <xf numFmtId="0" fontId="9" fillId="0" borderId="0" xfId="1" applyFont="1" applyFill="1" applyBorder="1" applyAlignment="1" applyProtection="1">
      <alignment horizontal="left" vertical="center"/>
      <protection hidden="1"/>
    </xf>
    <xf numFmtId="0" fontId="4" fillId="0" borderId="0" xfId="1" applyFont="1" applyFill="1" applyAlignment="1" applyProtection="1">
      <alignment horizontal="center" vertical="center"/>
      <protection hidden="1"/>
    </xf>
    <xf numFmtId="0" fontId="12" fillId="0" borderId="0" xfId="1" applyFont="1" applyFill="1" applyAlignment="1" applyProtection="1">
      <alignment horizontal="right"/>
      <protection hidden="1"/>
    </xf>
    <xf numFmtId="0" fontId="13" fillId="0" borderId="0" xfId="1" applyFont="1" applyFill="1" applyAlignment="1" applyProtection="1">
      <alignment horizontal="left"/>
      <protection hidden="1"/>
    </xf>
    <xf numFmtId="14" fontId="4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8" fillId="0" borderId="0" xfId="1" applyFont="1" applyFill="1" applyBorder="1" applyAlignment="1" applyProtection="1">
      <alignment horizontal="center" vertical="center"/>
      <protection hidden="1"/>
    </xf>
    <xf numFmtId="0" fontId="1" fillId="0" borderId="0" xfId="1" applyFont="1" applyFill="1" applyBorder="1" applyAlignment="1" applyProtection="1">
      <alignment horizontal="left" vertical="center"/>
      <protection hidden="1"/>
    </xf>
    <xf numFmtId="0" fontId="15" fillId="0" borderId="0" xfId="1" applyFont="1" applyFill="1" applyAlignment="1" applyProtection="1">
      <alignment horizontal="right" vertical="center"/>
      <protection hidden="1"/>
    </xf>
    <xf numFmtId="0" fontId="16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left" vertical="center"/>
      <protection hidden="1"/>
    </xf>
    <xf numFmtId="0" fontId="18" fillId="0" borderId="9" xfId="1" applyFont="1" applyFill="1" applyBorder="1" applyAlignment="1" applyProtection="1">
      <alignment horizontal="center" vertical="center"/>
      <protection hidden="1"/>
    </xf>
    <xf numFmtId="0" fontId="17" fillId="0" borderId="3" xfId="1" applyFont="1" applyFill="1" applyBorder="1" applyAlignment="1" applyProtection="1">
      <alignment horizontal="center" vertical="center"/>
      <protection locked="0"/>
    </xf>
    <xf numFmtId="1" fontId="19" fillId="0" borderId="0" xfId="1" applyNumberFormat="1" applyFont="1" applyFill="1" applyAlignment="1" applyProtection="1">
      <alignment horizontal="center" vertical="center"/>
      <protection hidden="1"/>
    </xf>
    <xf numFmtId="0" fontId="16" fillId="0" borderId="0" xfId="1" applyNumberFormat="1" applyFont="1" applyFill="1" applyAlignment="1" applyProtection="1">
      <alignment horizontal="left" vertical="center"/>
      <protection hidden="1"/>
    </xf>
    <xf numFmtId="0" fontId="20" fillId="0" borderId="10" xfId="1" applyFont="1" applyFill="1" applyBorder="1" applyAlignment="1" applyProtection="1">
      <protection hidden="1"/>
    </xf>
    <xf numFmtId="0" fontId="21" fillId="0" borderId="0" xfId="1" applyFont="1" applyFill="1" applyBorder="1" applyAlignment="1" applyProtection="1">
      <alignment horizontal="left"/>
      <protection hidden="1"/>
    </xf>
    <xf numFmtId="0" fontId="20" fillId="0" borderId="0" xfId="1" applyFont="1" applyFill="1" applyBorder="1" applyAlignment="1" applyProtection="1">
      <alignment horizontal="left"/>
      <protection hidden="1"/>
    </xf>
    <xf numFmtId="0" fontId="20" fillId="0" borderId="11" xfId="1" applyFont="1" applyFill="1" applyBorder="1" applyAlignment="1" applyProtection="1">
      <alignment horizontal="left"/>
      <protection hidden="1"/>
    </xf>
    <xf numFmtId="0" fontId="1" fillId="0" borderId="0" xfId="1" applyNumberFormat="1" applyFill="1" applyAlignment="1" applyProtection="1">
      <alignment horizontal="center"/>
      <protection hidden="1"/>
    </xf>
    <xf numFmtId="0" fontId="1" fillId="0" borderId="0" xfId="1" applyFont="1" applyFill="1" applyAlignment="1" applyProtection="1">
      <alignment horizontal="center"/>
      <protection hidden="1"/>
    </xf>
    <xf numFmtId="0" fontId="1" fillId="0" borderId="0" xfId="1" applyFont="1" applyFill="1" applyAlignment="1" applyProtection="1">
      <alignment horizontal="center" vertical="center"/>
      <protection hidden="1"/>
    </xf>
    <xf numFmtId="0" fontId="20" fillId="0" borderId="12" xfId="1" applyFont="1" applyFill="1" applyBorder="1" applyAlignment="1" applyProtection="1">
      <protection hidden="1"/>
    </xf>
    <xf numFmtId="0" fontId="21" fillId="0" borderId="13" xfId="1" applyFont="1" applyFill="1" applyBorder="1" applyAlignment="1" applyProtection="1">
      <alignment horizontal="left"/>
      <protection hidden="1"/>
    </xf>
    <xf numFmtId="0" fontId="20" fillId="0" borderId="13" xfId="1" applyFont="1" applyFill="1" applyBorder="1" applyAlignment="1" applyProtection="1">
      <alignment horizontal="left"/>
      <protection hidden="1"/>
    </xf>
    <xf numFmtId="0" fontId="21" fillId="0" borderId="14" xfId="1" applyFont="1" applyFill="1" applyBorder="1" applyAlignment="1" applyProtection="1">
      <alignment horizontal="center"/>
      <protection hidden="1"/>
    </xf>
    <xf numFmtId="0" fontId="22" fillId="2" borderId="9" xfId="1" applyFont="1" applyFill="1" applyBorder="1" applyAlignment="1" applyProtection="1">
      <alignment horizontal="center" vertical="center"/>
      <protection hidden="1"/>
    </xf>
    <xf numFmtId="0" fontId="23" fillId="4" borderId="9" xfId="1" applyNumberFormat="1" applyFont="1" applyFill="1" applyBorder="1" applyAlignment="1" applyProtection="1">
      <alignment horizontal="center" vertical="center" wrapText="1"/>
    </xf>
    <xf numFmtId="0" fontId="23" fillId="5" borderId="9" xfId="1" applyNumberFormat="1" applyFont="1" applyFill="1" applyBorder="1" applyAlignment="1" applyProtection="1">
      <alignment horizontal="center" vertical="center" wrapText="1"/>
    </xf>
    <xf numFmtId="0" fontId="23" fillId="6" borderId="1" xfId="1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 applyProtection="1">
      <alignment horizontal="left" vertical="center" wrapText="1"/>
      <protection hidden="1"/>
    </xf>
    <xf numFmtId="0" fontId="8" fillId="0" borderId="2" xfId="1" applyFont="1" applyFill="1" applyBorder="1" applyAlignment="1" applyProtection="1">
      <alignment horizontal="center" vertical="center" wrapText="1"/>
      <protection hidden="1"/>
    </xf>
    <xf numFmtId="0" fontId="8" fillId="0" borderId="9" xfId="1" applyFont="1" applyFill="1" applyBorder="1" applyAlignment="1" applyProtection="1">
      <alignment horizontal="center" vertical="center" wrapText="1"/>
      <protection hidden="1"/>
    </xf>
    <xf numFmtId="0" fontId="8" fillId="0" borderId="3" xfId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Fill="1" applyBorder="1" applyAlignment="1" applyProtection="1">
      <alignment horizontal="center" vertical="center" wrapText="1"/>
      <protection hidden="1"/>
    </xf>
    <xf numFmtId="0" fontId="23" fillId="5" borderId="1" xfId="1" applyFont="1" applyFill="1" applyBorder="1" applyAlignment="1" applyProtection="1">
      <alignment horizontal="center" vertical="center" wrapText="1"/>
      <protection hidden="1"/>
    </xf>
    <xf numFmtId="0" fontId="24" fillId="0" borderId="9" xfId="1" applyFont="1" applyFill="1" applyBorder="1" applyAlignment="1" applyProtection="1">
      <alignment horizontal="center" vertical="center" wrapText="1"/>
      <protection hidden="1"/>
    </xf>
    <xf numFmtId="0" fontId="1" fillId="0" borderId="9" xfId="1" applyFill="1" applyBorder="1" applyAlignment="1" applyProtection="1">
      <alignment horizontal="center" vertical="center" wrapText="1"/>
      <protection hidden="1"/>
    </xf>
    <xf numFmtId="0" fontId="1" fillId="2" borderId="2" xfId="1" applyFont="1" applyFill="1" applyBorder="1" applyAlignment="1" applyProtection="1">
      <alignment horizontal="center" vertical="center" wrapText="1"/>
      <protection hidden="1"/>
    </xf>
    <xf numFmtId="0" fontId="1" fillId="2" borderId="9" xfId="1" applyFont="1" applyFill="1" applyBorder="1" applyAlignment="1" applyProtection="1">
      <alignment horizontal="center" vertical="center" wrapText="1"/>
      <protection hidden="1"/>
    </xf>
    <xf numFmtId="0" fontId="1" fillId="2" borderId="3" xfId="1" applyNumberFormat="1" applyFont="1" applyFill="1" applyBorder="1" applyAlignment="1" applyProtection="1">
      <alignment horizontal="center" vertical="center" wrapText="1"/>
    </xf>
    <xf numFmtId="0" fontId="1" fillId="2" borderId="9" xfId="1" applyNumberFormat="1" applyFont="1" applyFill="1" applyBorder="1" applyAlignment="1" applyProtection="1">
      <alignment horizontal="center" vertical="center" wrapText="1"/>
    </xf>
    <xf numFmtId="0" fontId="24" fillId="4" borderId="2" xfId="1" applyFont="1" applyFill="1" applyBorder="1" applyAlignment="1" applyProtection="1">
      <alignment horizontal="center" vertical="center" wrapText="1"/>
      <protection hidden="1"/>
    </xf>
    <xf numFmtId="0" fontId="1" fillId="4" borderId="9" xfId="1" applyFont="1" applyFill="1" applyBorder="1" applyAlignment="1" applyProtection="1">
      <alignment horizontal="center" vertical="center" wrapText="1"/>
      <protection hidden="1"/>
    </xf>
    <xf numFmtId="0" fontId="24" fillId="4" borderId="9" xfId="1" applyFont="1" applyFill="1" applyBorder="1" applyAlignment="1" applyProtection="1">
      <alignment horizontal="center" vertical="center" wrapText="1"/>
      <protection hidden="1"/>
    </xf>
    <xf numFmtId="0" fontId="24" fillId="4" borderId="3" xfId="1" applyFont="1" applyFill="1" applyBorder="1" applyAlignment="1" applyProtection="1">
      <alignment horizontal="center" vertical="center" wrapText="1"/>
      <protection hidden="1"/>
    </xf>
    <xf numFmtId="0" fontId="24" fillId="0" borderId="2" xfId="1" applyFont="1" applyFill="1" applyBorder="1" applyAlignment="1" applyProtection="1">
      <alignment horizontal="center" vertical="center" wrapText="1"/>
      <protection hidden="1"/>
    </xf>
    <xf numFmtId="0" fontId="24" fillId="5" borderId="9" xfId="1" applyFont="1" applyFill="1" applyBorder="1" applyAlignment="1" applyProtection="1">
      <alignment horizontal="center" vertical="center" wrapText="1"/>
      <protection hidden="1"/>
    </xf>
    <xf numFmtId="0" fontId="24" fillId="5" borderId="3" xfId="1" applyNumberFormat="1" applyFont="1" applyFill="1" applyBorder="1" applyAlignment="1" applyProtection="1">
      <alignment horizontal="center" vertical="center" wrapText="1"/>
    </xf>
    <xf numFmtId="0" fontId="24" fillId="5" borderId="9" xfId="1" applyNumberFormat="1" applyFont="1" applyFill="1" applyBorder="1" applyAlignment="1" applyProtection="1">
      <alignment horizontal="center" vertical="center" wrapText="1"/>
    </xf>
    <xf numFmtId="0" fontId="24" fillId="6" borderId="9" xfId="1" applyFont="1" applyFill="1" applyBorder="1" applyAlignment="1" applyProtection="1">
      <alignment horizontal="center" vertical="center" wrapText="1"/>
      <protection hidden="1"/>
    </xf>
    <xf numFmtId="0" fontId="1" fillId="6" borderId="3" xfId="1" applyNumberFormat="1" applyFont="1" applyFill="1" applyBorder="1" applyAlignment="1" applyProtection="1">
      <alignment horizontal="center" vertical="center" wrapText="1"/>
    </xf>
    <xf numFmtId="0" fontId="1" fillId="6" borderId="15" xfId="1" applyNumberFormat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horizontal="center" vertical="center" wrapText="1"/>
      <protection hidden="1"/>
    </xf>
    <xf numFmtId="0" fontId="8" fillId="0" borderId="16" xfId="1" quotePrefix="1" applyFont="1" applyFill="1" applyBorder="1" applyAlignment="1" applyProtection="1">
      <alignment horizontal="center" vertical="center"/>
      <protection hidden="1"/>
    </xf>
    <xf numFmtId="0" fontId="8" fillId="2" borderId="17" xfId="1" applyFont="1" applyFill="1" applyBorder="1" applyAlignment="1" applyProtection="1">
      <alignment horizontal="center" vertical="center" shrinkToFit="1"/>
      <protection locked="0"/>
    </xf>
    <xf numFmtId="164" fontId="8" fillId="2" borderId="18" xfId="1" applyNumberFormat="1" applyFont="1" applyFill="1" applyBorder="1" applyAlignment="1" applyProtection="1">
      <alignment horizontal="center" vertical="center"/>
      <protection locked="0"/>
    </xf>
    <xf numFmtId="0" fontId="8" fillId="0" borderId="19" xfId="1" applyFont="1" applyFill="1" applyBorder="1" applyAlignment="1" applyProtection="1">
      <alignment horizontal="center" vertical="center"/>
      <protection hidden="1"/>
    </xf>
    <xf numFmtId="0" fontId="1" fillId="5" borderId="0" xfId="1" applyFill="1" applyAlignment="1" applyProtection="1">
      <alignment horizontal="left" vertical="center"/>
      <protection hidden="1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164" fontId="1" fillId="0" borderId="0" xfId="1" applyNumberFormat="1" applyFont="1" applyFill="1" applyAlignment="1" applyProtection="1">
      <alignment horizontal="center" vertical="center"/>
      <protection hidden="1"/>
    </xf>
    <xf numFmtId="0" fontId="1" fillId="0" borderId="10" xfId="1" applyFont="1" applyFill="1" applyBorder="1" applyAlignment="1" applyProtection="1">
      <alignment horizontal="center" vertical="center"/>
      <protection hidden="1"/>
    </xf>
    <xf numFmtId="14" fontId="1" fillId="2" borderId="0" xfId="1" applyNumberFormat="1" applyFont="1" applyFill="1" applyBorder="1" applyAlignment="1" applyProtection="1">
      <alignment horizontal="center" vertical="center"/>
      <protection hidden="1"/>
    </xf>
    <xf numFmtId="0" fontId="1" fillId="2" borderId="0" xfId="1" applyFont="1" applyFill="1" applyBorder="1" applyAlignment="1" applyProtection="1">
      <alignment horizontal="center" vertical="center"/>
      <protection hidden="1"/>
    </xf>
    <xf numFmtId="0" fontId="1" fillId="2" borderId="11" xfId="1" applyNumberFormat="1" applyFont="1" applyFill="1" applyBorder="1" applyAlignment="1" applyProtection="1">
      <alignment horizontal="center" vertical="center"/>
    </xf>
    <xf numFmtId="14" fontId="1" fillId="4" borderId="0" xfId="1" applyNumberFormat="1" applyFont="1" applyFill="1" applyBorder="1" applyAlignment="1" applyProtection="1">
      <alignment horizontal="center" vertical="center"/>
      <protection hidden="1"/>
    </xf>
    <xf numFmtId="0" fontId="1" fillId="4" borderId="0" xfId="1" applyFont="1" applyFill="1" applyBorder="1" applyAlignment="1" applyProtection="1">
      <alignment horizontal="center" vertical="center"/>
      <protection hidden="1"/>
    </xf>
    <xf numFmtId="0" fontId="1" fillId="4" borderId="11" xfId="1" applyNumberFormat="1" applyFill="1" applyBorder="1" applyAlignment="1" applyProtection="1">
      <alignment horizontal="center" vertical="center"/>
    </xf>
    <xf numFmtId="1" fontId="1" fillId="0" borderId="10" xfId="1" applyNumberFormat="1" applyFill="1" applyBorder="1" applyAlignment="1" applyProtection="1">
      <alignment horizontal="center" vertical="center"/>
      <protection hidden="1"/>
    </xf>
    <xf numFmtId="0" fontId="1" fillId="5" borderId="0" xfId="1" applyNumberFormat="1" applyFill="1" applyBorder="1" applyAlignment="1" applyProtection="1">
      <alignment horizontal="center" vertical="center"/>
      <protection hidden="1"/>
    </xf>
    <xf numFmtId="0" fontId="1" fillId="5" borderId="11" xfId="1" applyNumberFormat="1" applyFill="1" applyBorder="1" applyAlignment="1" applyProtection="1">
      <alignment horizontal="center" vertical="center"/>
    </xf>
    <xf numFmtId="0" fontId="1" fillId="5" borderId="0" xfId="1" applyNumberFormat="1" applyFill="1" applyBorder="1" applyAlignment="1" applyProtection="1">
      <alignment horizontal="center" vertical="center"/>
    </xf>
    <xf numFmtId="0" fontId="1" fillId="6" borderId="0" xfId="1" applyNumberFormat="1" applyFill="1" applyBorder="1" applyAlignment="1" applyProtection="1">
      <alignment horizontal="center" vertical="center"/>
      <protection hidden="1"/>
    </xf>
    <xf numFmtId="0" fontId="1" fillId="6" borderId="11" xfId="1" applyNumberFormat="1" applyFill="1" applyBorder="1" applyAlignment="1" applyProtection="1">
      <alignment horizontal="center" vertical="center"/>
    </xf>
    <xf numFmtId="0" fontId="1" fillId="6" borderId="20" xfId="1" applyNumberFormat="1" applyFill="1" applyBorder="1" applyAlignment="1" applyProtection="1">
      <alignment horizontal="center" vertical="center"/>
    </xf>
    <xf numFmtId="0" fontId="8" fillId="0" borderId="21" xfId="1" quotePrefix="1" applyFont="1" applyFill="1" applyBorder="1" applyAlignment="1" applyProtection="1">
      <alignment horizontal="center" vertical="center"/>
      <protection hidden="1"/>
    </xf>
    <xf numFmtId="165" fontId="1" fillId="0" borderId="0" xfId="1" applyNumberFormat="1" applyFont="1" applyFill="1" applyAlignment="1" applyProtection="1">
      <alignment horizontal="left" vertical="center"/>
      <protection hidden="1"/>
    </xf>
    <xf numFmtId="0" fontId="25" fillId="0" borderId="0" xfId="1" applyNumberFormat="1" applyFont="1" applyFill="1" applyBorder="1" applyAlignment="1" applyProtection="1">
      <alignment horizontal="center" vertical="center"/>
    </xf>
    <xf numFmtId="0" fontId="25" fillId="0" borderId="20" xfId="1" applyNumberFormat="1" applyFont="1" applyFill="1" applyBorder="1" applyAlignment="1" applyProtection="1">
      <alignment horizontal="center" vertical="center"/>
    </xf>
    <xf numFmtId="0" fontId="8" fillId="0" borderId="22" xfId="1" quotePrefix="1" applyFont="1" applyFill="1" applyBorder="1" applyAlignment="1" applyProtection="1">
      <alignment horizontal="center" vertical="center"/>
      <protection hidden="1"/>
    </xf>
    <xf numFmtId="0" fontId="8" fillId="7" borderId="19" xfId="1" applyFont="1" applyFill="1" applyBorder="1" applyAlignment="1" applyProtection="1">
      <alignment horizontal="center" vertical="center"/>
      <protection hidden="1"/>
    </xf>
    <xf numFmtId="0" fontId="1" fillId="0" borderId="0" xfId="1" applyFont="1" applyFill="1" applyBorder="1" applyAlignment="1" applyProtection="1">
      <alignment horizontal="center" vertical="center"/>
      <protection hidden="1"/>
    </xf>
    <xf numFmtId="0" fontId="25" fillId="0" borderId="0" xfId="1" applyFont="1" applyFill="1" applyBorder="1" applyAlignment="1" applyProtection="1">
      <alignment horizontal="center" vertical="center"/>
      <protection hidden="1"/>
    </xf>
    <xf numFmtId="0" fontId="27" fillId="0" borderId="26" xfId="1" applyFont="1" applyFill="1" applyBorder="1" applyAlignment="1" applyProtection="1">
      <alignment horizontal="center" vertical="center"/>
      <protection hidden="1"/>
    </xf>
    <xf numFmtId="0" fontId="28" fillId="5" borderId="0" xfId="1" applyFont="1" applyFill="1" applyAlignment="1" applyProtection="1">
      <alignment horizontal="left" vertical="center"/>
      <protection hidden="1"/>
    </xf>
    <xf numFmtId="1" fontId="1" fillId="2" borderId="12" xfId="1" applyNumberFormat="1" applyFill="1" applyBorder="1" applyAlignment="1" applyProtection="1">
      <alignment horizontal="center" vertical="center"/>
      <protection hidden="1"/>
    </xf>
    <xf numFmtId="165" fontId="1" fillId="0" borderId="0" xfId="1" applyNumberFormat="1" applyFill="1" applyAlignment="1" applyProtection="1">
      <alignment horizontal="center" vertical="center"/>
      <protection hidden="1"/>
    </xf>
    <xf numFmtId="0" fontId="22" fillId="2" borderId="13" xfId="1" applyNumberFormat="1" applyFont="1" applyFill="1" applyBorder="1" applyAlignment="1" applyProtection="1">
      <alignment horizontal="center" vertical="center"/>
      <protection hidden="1"/>
    </xf>
    <xf numFmtId="0" fontId="1" fillId="2" borderId="14" xfId="1" applyNumberFormat="1" applyFill="1" applyBorder="1" applyAlignment="1" applyProtection="1">
      <alignment horizontal="center" vertical="center"/>
    </xf>
    <xf numFmtId="0" fontId="1" fillId="2" borderId="13" xfId="1" applyNumberFormat="1" applyFill="1" applyBorder="1" applyAlignment="1" applyProtection="1">
      <alignment horizontal="center" vertical="center"/>
    </xf>
    <xf numFmtId="1" fontId="1" fillId="4" borderId="12" xfId="1" applyNumberFormat="1" applyFill="1" applyBorder="1" applyAlignment="1" applyProtection="1">
      <alignment horizontal="center" vertical="center"/>
      <protection hidden="1"/>
    </xf>
    <xf numFmtId="165" fontId="1" fillId="0" borderId="13" xfId="1" applyNumberFormat="1" applyFill="1" applyBorder="1" applyAlignment="1" applyProtection="1">
      <alignment horizontal="center" vertical="center"/>
      <protection hidden="1"/>
    </xf>
    <xf numFmtId="0" fontId="22" fillId="4" borderId="13" xfId="1" applyNumberFormat="1" applyFont="1" applyFill="1" applyBorder="1" applyAlignment="1" applyProtection="1">
      <alignment horizontal="center" vertical="center"/>
      <protection hidden="1"/>
    </xf>
    <xf numFmtId="0" fontId="1" fillId="4" borderId="14" xfId="1" applyNumberFormat="1" applyFill="1" applyBorder="1" applyAlignment="1" applyProtection="1">
      <alignment horizontal="center" vertical="center"/>
    </xf>
    <xf numFmtId="0" fontId="1" fillId="4" borderId="13" xfId="1" applyNumberFormat="1" applyFill="1" applyBorder="1" applyAlignment="1" applyProtection="1">
      <alignment horizontal="center" vertical="center"/>
    </xf>
    <xf numFmtId="1" fontId="1" fillId="5" borderId="12" xfId="1" applyNumberFormat="1" applyFill="1" applyBorder="1" applyAlignment="1" applyProtection="1">
      <alignment horizontal="center" vertical="center"/>
      <protection hidden="1"/>
    </xf>
    <xf numFmtId="0" fontId="1" fillId="0" borderId="13" xfId="1" applyNumberFormat="1" applyFill="1" applyBorder="1" applyAlignment="1" applyProtection="1">
      <alignment horizontal="center" vertical="center"/>
      <protection hidden="1"/>
    </xf>
    <xf numFmtId="0" fontId="1" fillId="5" borderId="14" xfId="1" applyNumberFormat="1" applyFill="1" applyBorder="1" applyAlignment="1" applyProtection="1">
      <alignment horizontal="center" vertical="center"/>
    </xf>
    <xf numFmtId="0" fontId="1" fillId="5" borderId="13" xfId="1" applyNumberFormat="1" applyFont="1" applyFill="1" applyBorder="1" applyAlignment="1" applyProtection="1">
      <alignment horizontal="center" vertical="center"/>
    </xf>
    <xf numFmtId="1" fontId="1" fillId="6" borderId="12" xfId="1" applyNumberFormat="1" applyFill="1" applyBorder="1" applyAlignment="1" applyProtection="1">
      <alignment horizontal="center" vertical="center"/>
      <protection hidden="1"/>
    </xf>
    <xf numFmtId="0" fontId="1" fillId="6" borderId="14" xfId="1" applyNumberFormat="1" applyFill="1" applyBorder="1" applyAlignment="1" applyProtection="1">
      <alignment horizontal="center" vertical="center"/>
    </xf>
    <xf numFmtId="1" fontId="1" fillId="6" borderId="15" xfId="1" applyNumberFormat="1" applyFill="1" applyBorder="1" applyAlignment="1" applyProtection="1">
      <alignment horizontal="center" vertical="center"/>
      <protection hidden="1"/>
    </xf>
    <xf numFmtId="0" fontId="4" fillId="0" borderId="26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NumberFormat="1" applyFill="1" applyAlignment="1" applyProtection="1">
      <alignment horizontal="center" vertical="center"/>
      <protection hidden="1"/>
    </xf>
    <xf numFmtId="0" fontId="1" fillId="0" borderId="1" xfId="1" applyNumberFormat="1" applyFill="1" applyBorder="1" applyAlignment="1" applyProtection="1">
      <alignment horizontal="center" vertical="center"/>
      <protection hidden="1"/>
    </xf>
    <xf numFmtId="0" fontId="1" fillId="0" borderId="0" xfId="1" applyNumberFormat="1" applyFill="1" applyBorder="1" applyAlignment="1" applyProtection="1">
      <alignment horizontal="center" vertical="center"/>
      <protection hidden="1"/>
    </xf>
    <xf numFmtId="0" fontId="1" fillId="8" borderId="15" xfId="1" applyNumberFormat="1" applyFill="1" applyBorder="1" applyAlignment="1" applyProtection="1">
      <alignment horizontal="center" vertical="center"/>
      <protection hidden="1"/>
    </xf>
    <xf numFmtId="0" fontId="1" fillId="5" borderId="15" xfId="1" applyNumberFormat="1" applyFill="1" applyBorder="1" applyAlignment="1" applyProtection="1">
      <alignment horizontal="center" vertical="center"/>
      <protection hidden="1"/>
    </xf>
    <xf numFmtId="1" fontId="29" fillId="6" borderId="15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right" vertical="center"/>
      <protection hidden="1"/>
    </xf>
    <xf numFmtId="0" fontId="8" fillId="0" borderId="0" xfId="1" applyFont="1" applyFill="1" applyAlignment="1" applyProtection="1">
      <alignment horizontal="center"/>
      <protection hidden="1"/>
    </xf>
    <xf numFmtId="0" fontId="8" fillId="0" borderId="0" xfId="1" applyFont="1" applyFill="1" applyAlignment="1" applyProtection="1">
      <alignment horizontal="left"/>
      <protection hidden="1"/>
    </xf>
    <xf numFmtId="0" fontId="8" fillId="0" borderId="0" xfId="1" applyFont="1" applyFill="1" applyAlignment="1" applyProtection="1">
      <alignment horizontal="right"/>
      <protection hidden="1"/>
    </xf>
    <xf numFmtId="0" fontId="6" fillId="0" borderId="27" xfId="2" applyFont="1" applyFill="1" applyBorder="1" applyAlignment="1">
      <alignment wrapText="1"/>
    </xf>
    <xf numFmtId="0" fontId="1" fillId="0" borderId="0" xfId="3" applyAlignment="1">
      <alignment horizontal="center"/>
    </xf>
    <xf numFmtId="0" fontId="1" fillId="0" borderId="0" xfId="3"/>
    <xf numFmtId="0" fontId="36" fillId="7" borderId="2" xfId="0" applyFont="1" applyFill="1" applyBorder="1" applyAlignment="1" applyProtection="1">
      <alignment horizontal="center"/>
      <protection hidden="1"/>
    </xf>
    <xf numFmtId="164" fontId="37" fillId="2" borderId="9" xfId="0" applyNumberFormat="1" applyFont="1" applyFill="1" applyBorder="1" applyAlignment="1" applyProtection="1">
      <alignment horizontal="center"/>
      <protection locked="0"/>
    </xf>
    <xf numFmtId="0" fontId="36" fillId="7" borderId="3" xfId="0" applyFont="1" applyFill="1" applyBorder="1" applyAlignment="1" applyProtection="1">
      <alignment horizontal="center"/>
      <protection hidden="1"/>
    </xf>
    <xf numFmtId="0" fontId="36" fillId="0" borderId="0" xfId="0" applyFont="1" applyFill="1" applyAlignment="1" applyProtection="1">
      <alignment horizontal="center"/>
      <protection hidden="1"/>
    </xf>
    <xf numFmtId="0" fontId="36" fillId="7" borderId="0" xfId="0" applyFont="1" applyFill="1" applyAlignment="1" applyProtection="1">
      <alignment horizontal="center"/>
      <protection hidden="1"/>
    </xf>
    <xf numFmtId="164" fontId="36" fillId="7" borderId="0" xfId="0" applyNumberFormat="1" applyFont="1" applyFill="1" applyAlignment="1" applyProtection="1">
      <alignment horizontal="center"/>
      <protection hidden="1"/>
    </xf>
    <xf numFmtId="164" fontId="36" fillId="5" borderId="0" xfId="0" applyNumberFormat="1" applyFont="1" applyFill="1" applyAlignment="1" applyProtection="1">
      <alignment horizontal="center"/>
      <protection hidden="1"/>
    </xf>
    <xf numFmtId="0" fontId="36" fillId="5" borderId="0" xfId="0" applyFont="1" applyFill="1" applyAlignment="1" applyProtection="1">
      <alignment horizontal="center"/>
      <protection hidden="1"/>
    </xf>
    <xf numFmtId="0" fontId="36" fillId="0" borderId="0" xfId="0" applyFont="1" applyAlignment="1" applyProtection="1">
      <alignment horizontal="center"/>
      <protection hidden="1"/>
    </xf>
    <xf numFmtId="164" fontId="37" fillId="7" borderId="0" xfId="0" applyNumberFormat="1" applyFont="1" applyFill="1" applyAlignment="1" applyProtection="1">
      <alignment horizontal="center"/>
      <protection hidden="1"/>
    </xf>
    <xf numFmtId="164" fontId="36" fillId="4" borderId="0" xfId="0" applyNumberFormat="1" applyFont="1" applyFill="1" applyAlignment="1" applyProtection="1">
      <alignment horizontal="center"/>
      <protection hidden="1"/>
    </xf>
    <xf numFmtId="0" fontId="36" fillId="4" borderId="0" xfId="0" applyFont="1" applyFill="1" applyAlignment="1" applyProtection="1">
      <alignment horizontal="center"/>
      <protection hidden="1"/>
    </xf>
    <xf numFmtId="164" fontId="36" fillId="0" borderId="0" xfId="0" applyNumberFormat="1" applyFont="1" applyAlignment="1" applyProtection="1">
      <alignment horizontal="center"/>
      <protection hidden="1"/>
    </xf>
    <xf numFmtId="0" fontId="14" fillId="0" borderId="0" xfId="1" applyFont="1" applyFill="1" applyBorder="1" applyAlignment="1" applyProtection="1">
      <alignment horizontal="center" vertical="center"/>
      <protection hidden="1"/>
    </xf>
    <xf numFmtId="0" fontId="3" fillId="0" borderId="2" xfId="1" applyFont="1" applyFill="1" applyBorder="1" applyAlignment="1" applyProtection="1">
      <alignment horizontal="right" vertical="center"/>
      <protection hidden="1"/>
    </xf>
    <xf numFmtId="0" fontId="3" fillId="0" borderId="3" xfId="1" applyFont="1" applyFill="1" applyBorder="1" applyAlignment="1" applyProtection="1">
      <alignment horizontal="right" vertical="center"/>
      <protection hidden="1"/>
    </xf>
    <xf numFmtId="0" fontId="4" fillId="2" borderId="2" xfId="1" applyFont="1" applyFill="1" applyBorder="1" applyAlignment="1" applyProtection="1">
      <alignment horizontal="center" vertical="center"/>
      <protection locked="0" hidden="1"/>
    </xf>
    <xf numFmtId="0" fontId="4" fillId="2" borderId="3" xfId="1" applyFont="1" applyFill="1" applyBorder="1" applyAlignment="1" applyProtection="1">
      <alignment horizontal="center" vertical="center"/>
      <protection locked="0" hidden="1"/>
    </xf>
    <xf numFmtId="0" fontId="3" fillId="0" borderId="0" xfId="1" applyFont="1" applyFill="1" applyBorder="1" applyAlignment="1" applyProtection="1">
      <alignment horizontal="center" wrapText="1"/>
      <protection hidden="1"/>
    </xf>
    <xf numFmtId="0" fontId="3" fillId="0" borderId="7" xfId="1" applyFont="1" applyFill="1" applyBorder="1" applyAlignment="1" applyProtection="1">
      <alignment horizontal="center" wrapText="1"/>
      <protection hidden="1"/>
    </xf>
    <xf numFmtId="0" fontId="8" fillId="0" borderId="0" xfId="1" applyFont="1" applyFill="1" applyAlignment="1" applyProtection="1">
      <alignment horizontal="center" vertical="center"/>
      <protection hidden="1"/>
    </xf>
    <xf numFmtId="0" fontId="10" fillId="0" borderId="8" xfId="1" applyFont="1" applyFill="1" applyBorder="1" applyAlignment="1" applyProtection="1">
      <alignment horizontal="center" vertical="top"/>
      <protection hidden="1"/>
    </xf>
    <xf numFmtId="164" fontId="11" fillId="0" borderId="0" xfId="1" applyNumberFormat="1" applyFont="1" applyFill="1" applyAlignment="1" applyProtection="1">
      <alignment horizontal="center" vertical="center"/>
      <protection hidden="1"/>
    </xf>
    <xf numFmtId="0" fontId="3" fillId="2" borderId="7" xfId="1" applyFont="1" applyFill="1" applyBorder="1" applyAlignment="1" applyProtection="1">
      <alignment horizontal="center" wrapText="1"/>
      <protection locked="0"/>
    </xf>
    <xf numFmtId="14" fontId="8" fillId="0" borderId="0" xfId="1" applyNumberFormat="1" applyFont="1" applyFill="1" applyAlignment="1" applyProtection="1">
      <alignment horizontal="center" vertical="center"/>
      <protection hidden="1"/>
    </xf>
    <xf numFmtId="0" fontId="14" fillId="2" borderId="7" xfId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164" fontId="4" fillId="2" borderId="7" xfId="1" applyNumberFormat="1" applyFont="1" applyFill="1" applyBorder="1" applyAlignment="1" applyProtection="1">
      <alignment horizontal="center" vertical="center"/>
      <protection locked="0"/>
    </xf>
    <xf numFmtId="0" fontId="17" fillId="0" borderId="2" xfId="1" applyFont="1" applyFill="1" applyBorder="1" applyAlignment="1" applyProtection="1">
      <alignment horizontal="center" vertical="center"/>
      <protection hidden="1"/>
    </xf>
    <xf numFmtId="0" fontId="17" fillId="0" borderId="9" xfId="1" applyFont="1" applyFill="1" applyBorder="1" applyAlignment="1" applyProtection="1">
      <alignment horizontal="center" vertical="center"/>
      <protection hidden="1"/>
    </xf>
    <xf numFmtId="0" fontId="22" fillId="2" borderId="2" xfId="1" applyFont="1" applyFill="1" applyBorder="1" applyAlignment="1" applyProtection="1">
      <alignment horizontal="center" vertical="center"/>
      <protection hidden="1"/>
    </xf>
    <xf numFmtId="0" fontId="22" fillId="2" borderId="9" xfId="1" applyFont="1" applyFill="1" applyBorder="1" applyAlignment="1" applyProtection="1">
      <alignment horizontal="center" vertical="center"/>
      <protection hidden="1"/>
    </xf>
    <xf numFmtId="0" fontId="22" fillId="2" borderId="3" xfId="1" applyFont="1" applyFill="1" applyBorder="1" applyAlignment="1" applyProtection="1">
      <alignment horizontal="center" vertical="center"/>
      <protection hidden="1"/>
    </xf>
    <xf numFmtId="0" fontId="8" fillId="2" borderId="17" xfId="1" applyFont="1" applyFill="1" applyBorder="1" applyAlignment="1" applyProtection="1">
      <alignment horizontal="center" vertical="center" shrinkToFit="1"/>
      <protection locked="0"/>
    </xf>
    <xf numFmtId="0" fontId="23" fillId="5" borderId="2" xfId="1" applyNumberFormat="1" applyFont="1" applyFill="1" applyBorder="1" applyAlignment="1" applyProtection="1">
      <alignment horizontal="center" vertical="center" wrapText="1"/>
    </xf>
    <xf numFmtId="0" fontId="23" fillId="5" borderId="9" xfId="1" applyNumberFormat="1" applyFont="1" applyFill="1" applyBorder="1" applyAlignment="1" applyProtection="1">
      <alignment horizontal="center" vertical="center" wrapText="1"/>
    </xf>
    <xf numFmtId="0" fontId="23" fillId="5" borderId="3" xfId="1" applyNumberFormat="1" applyFont="1" applyFill="1" applyBorder="1" applyAlignment="1" applyProtection="1">
      <alignment horizontal="center" vertical="center" wrapText="1"/>
    </xf>
    <xf numFmtId="0" fontId="23" fillId="6" borderId="2" xfId="1" applyNumberFormat="1" applyFont="1" applyFill="1" applyBorder="1" applyAlignment="1" applyProtection="1">
      <alignment horizontal="center" vertical="center" wrapText="1"/>
    </xf>
    <xf numFmtId="0" fontId="23" fillId="6" borderId="9" xfId="1" applyNumberFormat="1" applyFont="1" applyFill="1" applyBorder="1" applyAlignment="1" applyProtection="1">
      <alignment horizontal="center" vertical="center" wrapText="1"/>
    </xf>
    <xf numFmtId="0" fontId="23" fillId="6" borderId="3" xfId="1" applyNumberFormat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hidden="1"/>
    </xf>
    <xf numFmtId="0" fontId="23" fillId="4" borderId="2" xfId="1" applyNumberFormat="1" applyFont="1" applyFill="1" applyBorder="1" applyAlignment="1" applyProtection="1">
      <alignment horizontal="center" vertical="center" wrapText="1"/>
    </xf>
    <xf numFmtId="0" fontId="23" fillId="4" borderId="9" xfId="1" applyNumberFormat="1" applyFont="1" applyFill="1" applyBorder="1" applyAlignment="1" applyProtection="1">
      <alignment horizontal="center" vertical="center" wrapText="1"/>
    </xf>
    <xf numFmtId="0" fontId="23" fillId="4" borderId="3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center"/>
      <protection hidden="1"/>
    </xf>
    <xf numFmtId="0" fontId="30" fillId="0" borderId="7" xfId="1" applyFont="1" applyFill="1" applyBorder="1" applyAlignment="1" applyProtection="1">
      <alignment horizontal="center"/>
      <protection hidden="1"/>
    </xf>
    <xf numFmtId="0" fontId="30" fillId="2" borderId="8" xfId="1" applyFont="1" applyFill="1" applyBorder="1" applyAlignment="1" applyProtection="1">
      <alignment horizontal="center"/>
      <protection locked="0"/>
    </xf>
    <xf numFmtId="165" fontId="26" fillId="0" borderId="23" xfId="1" applyNumberFormat="1" applyFont="1" applyFill="1" applyBorder="1" applyAlignment="1" applyProtection="1">
      <alignment horizontal="center" vertical="center" wrapText="1"/>
      <protection hidden="1"/>
    </xf>
    <xf numFmtId="165" fontId="26" fillId="0" borderId="24" xfId="1" applyNumberFormat="1" applyFont="1" applyFill="1" applyBorder="1" applyAlignment="1" applyProtection="1">
      <alignment horizontal="center" vertical="center" wrapText="1"/>
      <protection hidden="1"/>
    </xf>
    <xf numFmtId="165" fontId="26" fillId="0" borderId="0" xfId="1" applyNumberFormat="1" applyFont="1" applyFill="1" applyBorder="1" applyAlignment="1" applyProtection="1">
      <alignment horizontal="center" vertical="center" wrapText="1"/>
      <protection hidden="1"/>
    </xf>
    <xf numFmtId="165" fontId="26" fillId="0" borderId="11" xfId="1" applyNumberFormat="1" applyFont="1" applyFill="1" applyBorder="1" applyAlignment="1" applyProtection="1">
      <alignment horizontal="center" vertical="center" wrapText="1"/>
      <protection hidden="1"/>
    </xf>
    <xf numFmtId="165" fontId="8" fillId="0" borderId="2" xfId="1" applyNumberFormat="1" applyFont="1" applyFill="1" applyBorder="1" applyAlignment="1" applyProtection="1">
      <alignment horizontal="right" vertical="center"/>
      <protection hidden="1"/>
    </xf>
    <xf numFmtId="165" fontId="8" fillId="0" borderId="9" xfId="1" applyNumberFormat="1" applyFont="1" applyFill="1" applyBorder="1" applyAlignment="1" applyProtection="1">
      <alignment horizontal="right" vertical="center"/>
      <protection hidden="1"/>
    </xf>
    <xf numFmtId="165" fontId="8" fillId="0" borderId="25" xfId="1" applyNumberFormat="1" applyFont="1" applyFill="1" applyBorder="1" applyAlignment="1" applyProtection="1">
      <alignment horizontal="right" vertical="center"/>
      <protection hidden="1"/>
    </xf>
    <xf numFmtId="0" fontId="4" fillId="0" borderId="7" xfId="1" applyFont="1" applyFill="1" applyBorder="1" applyAlignment="1" applyProtection="1">
      <alignment horizontal="center" vertical="center"/>
    </xf>
    <xf numFmtId="164" fontId="4" fillId="9" borderId="7" xfId="1" applyNumberFormat="1" applyFont="1" applyFill="1" applyBorder="1" applyAlignment="1" applyProtection="1">
      <alignment horizontal="center" vertical="center"/>
      <protection hidden="1"/>
    </xf>
    <xf numFmtId="164" fontId="36" fillId="5" borderId="2" xfId="0" applyNumberFormat="1" applyFont="1" applyFill="1" applyBorder="1" applyAlignment="1" applyProtection="1">
      <alignment horizontal="center"/>
      <protection hidden="1"/>
    </xf>
    <xf numFmtId="164" fontId="36" fillId="5" borderId="9" xfId="0" applyNumberFormat="1" applyFont="1" applyFill="1" applyBorder="1" applyAlignment="1" applyProtection="1">
      <alignment horizontal="center"/>
      <protection hidden="1"/>
    </xf>
    <xf numFmtId="164" fontId="36" fillId="5" borderId="3" xfId="0" applyNumberFormat="1" applyFont="1" applyFill="1" applyBorder="1" applyAlignment="1" applyProtection="1">
      <alignment horizontal="center"/>
      <protection hidden="1"/>
    </xf>
    <xf numFmtId="164" fontId="36" fillId="4" borderId="2" xfId="0" applyNumberFormat="1" applyFont="1" applyFill="1" applyBorder="1" applyAlignment="1" applyProtection="1">
      <alignment horizontal="center"/>
      <protection hidden="1"/>
    </xf>
    <xf numFmtId="164" fontId="36" fillId="4" borderId="9" xfId="0" applyNumberFormat="1" applyFont="1" applyFill="1" applyBorder="1" applyAlignment="1" applyProtection="1">
      <alignment horizontal="center"/>
      <protection hidden="1"/>
    </xf>
    <xf numFmtId="164" fontId="36" fillId="4" borderId="3" xfId="0" applyNumberFormat="1" applyFont="1" applyFill="1" applyBorder="1" applyAlignment="1" applyProtection="1">
      <alignment horizontal="center"/>
      <protection hidden="1"/>
    </xf>
  </cellXfs>
  <cellStyles count="4">
    <cellStyle name="Normal" xfId="0" builtinId="0"/>
    <cellStyle name="Normal 2" xfId="1"/>
    <cellStyle name="Normal_VM_20070326 2" xfId="2"/>
    <cellStyle name="Normal_VZPGZ_2007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AP89"/>
  <sheetViews>
    <sheetView showGridLines="0" tabSelected="1" topLeftCell="A34" workbookViewId="0">
      <selection activeCell="E43" sqref="E43:F43"/>
    </sheetView>
  </sheetViews>
  <sheetFormatPr baseColWidth="10" defaultColWidth="9.1640625" defaultRowHeight="12" x14ac:dyDescent="0"/>
  <cols>
    <col min="1" max="1" width="9.33203125" style="2" customWidth="1"/>
    <col min="2" max="6" width="13.6640625" style="2" customWidth="1"/>
    <col min="7" max="7" width="28.33203125" style="2" customWidth="1"/>
    <col min="8" max="13" width="10.6640625" style="2" hidden="1" customWidth="1"/>
    <col min="14" max="23" width="10.6640625" style="4" hidden="1" customWidth="1"/>
    <col min="24" max="31" width="11.6640625" style="4" hidden="1" customWidth="1"/>
    <col min="32" max="32" width="9.1640625" style="2" hidden="1" customWidth="1"/>
    <col min="33" max="33" width="6.5" style="139" hidden="1" customWidth="1"/>
    <col min="34" max="34" width="7.1640625" style="140" hidden="1" customWidth="1"/>
    <col min="35" max="35" width="6.1640625" style="140" hidden="1" customWidth="1"/>
    <col min="36" max="36" width="3.1640625" style="140" hidden="1" customWidth="1"/>
    <col min="37" max="37" width="8" style="140" hidden="1" customWidth="1"/>
    <col min="38" max="38" width="33.33203125" style="140" hidden="1" customWidth="1"/>
    <col min="39" max="39" width="28.5" style="140" hidden="1" customWidth="1"/>
    <col min="40" max="41" width="24.1640625" style="14" hidden="1" customWidth="1"/>
    <col min="42" max="16384" width="9.1640625" style="2"/>
  </cols>
  <sheetData>
    <row r="1" spans="1:41" ht="20" customHeight="1">
      <c r="A1" s="1" t="s">
        <v>0</v>
      </c>
      <c r="C1" s="155" t="s">
        <v>1</v>
      </c>
      <c r="D1" s="156"/>
      <c r="E1" s="157" t="s">
        <v>2</v>
      </c>
      <c r="F1" s="158"/>
      <c r="G1" s="3"/>
      <c r="H1" s="3"/>
      <c r="AG1" s="5" t="s">
        <v>3</v>
      </c>
      <c r="AH1" s="6" t="s">
        <v>4</v>
      </c>
      <c r="AI1" s="5" t="s">
        <v>5</v>
      </c>
      <c r="AJ1" s="5" t="s">
        <v>6</v>
      </c>
      <c r="AK1" s="5" t="s">
        <v>7</v>
      </c>
      <c r="AL1" s="5" t="s">
        <v>8</v>
      </c>
      <c r="AM1" s="5" t="s">
        <v>9</v>
      </c>
      <c r="AN1" s="7" t="s">
        <v>10</v>
      </c>
      <c r="AO1" s="7" t="s">
        <v>11</v>
      </c>
    </row>
    <row r="2" spans="1:41" ht="13">
      <c r="A2" s="8" t="s">
        <v>12</v>
      </c>
      <c r="H2" s="9"/>
      <c r="AG2" s="10"/>
      <c r="AH2" s="11"/>
      <c r="AI2" s="12"/>
      <c r="AJ2" s="12"/>
      <c r="AK2" s="12"/>
      <c r="AL2" s="13" t="s">
        <v>2</v>
      </c>
      <c r="AM2" s="12"/>
      <c r="AN2" s="14">
        <v>0</v>
      </c>
      <c r="AO2" s="13" t="s">
        <v>2</v>
      </c>
    </row>
    <row r="3" spans="1:41" ht="13">
      <c r="A3" s="8"/>
      <c r="H3" s="9"/>
      <c r="I3" s="15"/>
      <c r="J3" s="15"/>
      <c r="AG3" s="10" t="s">
        <v>13</v>
      </c>
      <c r="AH3" s="11">
        <v>1067</v>
      </c>
      <c r="AI3" s="12" t="s">
        <v>14</v>
      </c>
      <c r="AJ3" s="12" t="s">
        <v>15</v>
      </c>
      <c r="AK3" s="12" t="s">
        <v>16</v>
      </c>
      <c r="AL3" s="12" t="s">
        <v>17</v>
      </c>
      <c r="AM3" s="12" t="s">
        <v>18</v>
      </c>
      <c r="AN3" s="14" t="s">
        <v>19</v>
      </c>
      <c r="AO3" s="14" t="s">
        <v>19</v>
      </c>
    </row>
    <row r="4" spans="1:41" ht="13">
      <c r="A4" s="8"/>
      <c r="H4" s="9"/>
      <c r="I4" s="15"/>
      <c r="J4" s="15"/>
      <c r="AG4" s="10" t="s">
        <v>20</v>
      </c>
      <c r="AH4" s="11">
        <v>1063</v>
      </c>
      <c r="AI4" s="12" t="s">
        <v>14</v>
      </c>
      <c r="AJ4" s="12" t="s">
        <v>21</v>
      </c>
      <c r="AK4" s="12" t="s">
        <v>22</v>
      </c>
      <c r="AL4" s="12" t="s">
        <v>23</v>
      </c>
      <c r="AM4" s="12" t="s">
        <v>24</v>
      </c>
      <c r="AN4" s="14" t="s">
        <v>25</v>
      </c>
      <c r="AO4" s="14" t="s">
        <v>25</v>
      </c>
    </row>
    <row r="5" spans="1:41" s="16" customFormat="1" ht="15" customHeight="1">
      <c r="C5" s="159" t="s">
        <v>26</v>
      </c>
      <c r="D5" s="159"/>
      <c r="E5" s="159"/>
      <c r="F5" s="159"/>
      <c r="I5" s="15" t="s">
        <v>2</v>
      </c>
      <c r="J5" s="15" t="s">
        <v>2</v>
      </c>
      <c r="AG5" s="10" t="s">
        <v>27</v>
      </c>
      <c r="AH5" s="11">
        <v>1116</v>
      </c>
      <c r="AI5" s="12" t="s">
        <v>14</v>
      </c>
      <c r="AJ5" s="12" t="s">
        <v>21</v>
      </c>
      <c r="AK5" s="12" t="s">
        <v>28</v>
      </c>
      <c r="AL5" s="12" t="s">
        <v>29</v>
      </c>
      <c r="AM5" s="12" t="s">
        <v>30</v>
      </c>
      <c r="AN5" s="17" t="s">
        <v>31</v>
      </c>
      <c r="AO5" s="17" t="s">
        <v>31</v>
      </c>
    </row>
    <row r="6" spans="1:41" s="16" customFormat="1" ht="15" customHeight="1">
      <c r="C6" s="160"/>
      <c r="D6" s="160"/>
      <c r="E6" s="160"/>
      <c r="F6" s="160"/>
      <c r="H6" s="18">
        <v>11</v>
      </c>
      <c r="I6" s="18" t="s">
        <v>32</v>
      </c>
      <c r="J6" s="18" t="s">
        <v>33</v>
      </c>
      <c r="AG6" s="10" t="s">
        <v>34</v>
      </c>
      <c r="AH6" s="11">
        <v>1098</v>
      </c>
      <c r="AI6" s="12" t="s">
        <v>14</v>
      </c>
      <c r="AJ6" s="12" t="s">
        <v>21</v>
      </c>
      <c r="AK6" s="12" t="s">
        <v>35</v>
      </c>
      <c r="AL6" s="12" t="s">
        <v>36</v>
      </c>
      <c r="AM6" s="12" t="s">
        <v>37</v>
      </c>
      <c r="AN6" s="17" t="s">
        <v>38</v>
      </c>
      <c r="AO6" s="17" t="s">
        <v>38</v>
      </c>
    </row>
    <row r="7" spans="1:41" s="16" customFormat="1" ht="15" customHeight="1">
      <c r="A7" s="161"/>
      <c r="B7" s="161"/>
      <c r="C7" s="162" t="s">
        <v>39</v>
      </c>
      <c r="D7" s="162"/>
      <c r="E7" s="162"/>
      <c r="F7" s="162"/>
      <c r="H7" s="19">
        <v>12</v>
      </c>
      <c r="I7" s="20" t="s">
        <v>40</v>
      </c>
      <c r="J7" s="20" t="s">
        <v>41</v>
      </c>
      <c r="AG7" s="10" t="s">
        <v>42</v>
      </c>
      <c r="AH7" s="11">
        <v>1074</v>
      </c>
      <c r="AI7" s="12" t="s">
        <v>14</v>
      </c>
      <c r="AJ7" s="12" t="s">
        <v>15</v>
      </c>
      <c r="AK7" s="12" t="s">
        <v>43</v>
      </c>
      <c r="AL7" s="12" t="s">
        <v>44</v>
      </c>
      <c r="AM7" s="12" t="s">
        <v>45</v>
      </c>
      <c r="AN7" s="17" t="s">
        <v>46</v>
      </c>
      <c r="AO7" s="17" t="s">
        <v>46</v>
      </c>
    </row>
    <row r="8" spans="1:41" s="16" customFormat="1" ht="30" customHeight="1">
      <c r="A8" s="163"/>
      <c r="B8" s="163"/>
      <c r="C8" s="160">
        <f>IF(C10&lt;1,"",LOOKUP(C10,AL2:AL76,AM2:AM76))</f>
        <v>0</v>
      </c>
      <c r="D8" s="160"/>
      <c r="E8" s="160"/>
      <c r="F8" s="160"/>
      <c r="H8" s="19">
        <v>21</v>
      </c>
      <c r="I8" s="20" t="s">
        <v>47</v>
      </c>
      <c r="J8" s="20" t="s">
        <v>48</v>
      </c>
      <c r="AG8" s="10" t="s">
        <v>49</v>
      </c>
      <c r="AH8" s="11">
        <v>1095</v>
      </c>
      <c r="AI8" s="12" t="s">
        <v>14</v>
      </c>
      <c r="AJ8" s="12" t="s">
        <v>21</v>
      </c>
      <c r="AK8" s="12" t="s">
        <v>50</v>
      </c>
      <c r="AL8" s="12" t="s">
        <v>51</v>
      </c>
      <c r="AM8" s="12" t="s">
        <v>52</v>
      </c>
      <c r="AN8" s="17" t="s">
        <v>53</v>
      </c>
      <c r="AO8" s="17" t="s">
        <v>53</v>
      </c>
    </row>
    <row r="9" spans="1:41" s="16" customFormat="1" ht="15" customHeight="1">
      <c r="C9" s="162" t="s">
        <v>54</v>
      </c>
      <c r="D9" s="162"/>
      <c r="E9" s="162"/>
      <c r="F9" s="162"/>
      <c r="G9" s="21"/>
      <c r="H9" s="19">
        <v>22</v>
      </c>
      <c r="I9" s="20" t="s">
        <v>55</v>
      </c>
      <c r="J9" s="20" t="s">
        <v>56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AG9" s="10" t="s">
        <v>57</v>
      </c>
      <c r="AH9" s="11">
        <v>1118</v>
      </c>
      <c r="AI9" s="12" t="s">
        <v>14</v>
      </c>
      <c r="AJ9" s="12" t="s">
        <v>21</v>
      </c>
      <c r="AK9" s="12" t="s">
        <v>50</v>
      </c>
      <c r="AL9" s="12" t="s">
        <v>58</v>
      </c>
      <c r="AM9" s="12" t="s">
        <v>52</v>
      </c>
      <c r="AN9" s="17" t="s">
        <v>59</v>
      </c>
      <c r="AO9" s="17" t="s">
        <v>59</v>
      </c>
    </row>
    <row r="10" spans="1:41" s="16" customFormat="1" ht="30" customHeight="1">
      <c r="A10" s="22" t="s">
        <v>60</v>
      </c>
      <c r="B10" s="23">
        <f>IF(C10&lt;1,"",LOOKUP(C10,AL2:AL76,AH2:AH76))</f>
        <v>0</v>
      </c>
      <c r="C10" s="164" t="s">
        <v>2</v>
      </c>
      <c r="D10" s="164"/>
      <c r="E10" s="164"/>
      <c r="F10" s="164"/>
      <c r="G10" s="24"/>
      <c r="H10" s="20">
        <v>31</v>
      </c>
      <c r="I10" s="20" t="s">
        <v>61</v>
      </c>
      <c r="J10" s="20" t="s">
        <v>62</v>
      </c>
      <c r="K10" s="21"/>
      <c r="L10" s="25"/>
      <c r="M10" s="25"/>
      <c r="N10" s="25"/>
      <c r="O10" s="21"/>
      <c r="P10" s="21"/>
      <c r="Q10" s="21"/>
      <c r="R10" s="21"/>
      <c r="S10" s="21"/>
      <c r="T10" s="21"/>
      <c r="U10" s="21"/>
      <c r="V10" s="21"/>
      <c r="W10" s="21"/>
      <c r="AG10" s="10" t="s">
        <v>63</v>
      </c>
      <c r="AH10" s="11">
        <v>1083</v>
      </c>
      <c r="AI10" s="12" t="s">
        <v>14</v>
      </c>
      <c r="AJ10" s="12" t="s">
        <v>21</v>
      </c>
      <c r="AK10" s="12" t="s">
        <v>50</v>
      </c>
      <c r="AL10" s="12" t="s">
        <v>64</v>
      </c>
      <c r="AM10" s="12" t="s">
        <v>65</v>
      </c>
      <c r="AN10" s="17" t="s">
        <v>66</v>
      </c>
      <c r="AO10" s="17" t="s">
        <v>66</v>
      </c>
    </row>
    <row r="11" spans="1:41" s="16" customFormat="1" ht="15" customHeight="1">
      <c r="A11" s="165"/>
      <c r="B11" s="165"/>
      <c r="C11" s="162" t="s">
        <v>67</v>
      </c>
      <c r="D11" s="162"/>
      <c r="E11" s="162"/>
      <c r="F11" s="162"/>
      <c r="G11" s="21"/>
      <c r="H11" s="20">
        <v>34</v>
      </c>
      <c r="I11" s="18" t="s">
        <v>68</v>
      </c>
      <c r="J11" s="20" t="s">
        <v>69</v>
      </c>
      <c r="K11" s="21"/>
      <c r="L11" s="25"/>
      <c r="M11" s="25"/>
      <c r="N11" s="25"/>
      <c r="O11" s="21"/>
      <c r="P11" s="21"/>
      <c r="Q11" s="21"/>
      <c r="R11" s="21"/>
      <c r="S11" s="21"/>
      <c r="T11" s="21"/>
      <c r="U11" s="21"/>
      <c r="V11" s="21"/>
      <c r="W11" s="21"/>
      <c r="AG11" s="10" t="s">
        <v>70</v>
      </c>
      <c r="AH11" s="11">
        <v>1123</v>
      </c>
      <c r="AI11" s="12" t="s">
        <v>14</v>
      </c>
      <c r="AJ11" s="12" t="s">
        <v>15</v>
      </c>
      <c r="AK11" s="12" t="s">
        <v>71</v>
      </c>
      <c r="AL11" s="12" t="s">
        <v>72</v>
      </c>
      <c r="AM11" s="12" t="s">
        <v>73</v>
      </c>
      <c r="AN11" s="17" t="s">
        <v>74</v>
      </c>
      <c r="AO11" s="17" t="s">
        <v>74</v>
      </c>
    </row>
    <row r="12" spans="1:41" s="28" customFormat="1" ht="20" customHeight="1">
      <c r="A12" s="154" t="s">
        <v>75</v>
      </c>
      <c r="B12" s="154"/>
      <c r="C12" s="154"/>
      <c r="D12" s="154"/>
      <c r="E12" s="154"/>
      <c r="F12" s="154"/>
      <c r="G12" s="26"/>
      <c r="H12" s="20">
        <v>32</v>
      </c>
      <c r="I12" s="20" t="s">
        <v>76</v>
      </c>
      <c r="J12" s="20" t="s">
        <v>77</v>
      </c>
      <c r="K12" s="26"/>
      <c r="L12" s="27"/>
      <c r="M12" s="27"/>
      <c r="N12" s="27"/>
      <c r="O12" s="26"/>
      <c r="P12" s="26"/>
      <c r="Q12" s="26"/>
      <c r="R12" s="26"/>
      <c r="S12" s="26"/>
      <c r="T12" s="26"/>
      <c r="U12" s="26"/>
      <c r="V12" s="26"/>
      <c r="W12" s="26"/>
      <c r="AG12" s="10" t="s">
        <v>78</v>
      </c>
      <c r="AH12" s="11">
        <v>1072</v>
      </c>
      <c r="AI12" s="12" t="s">
        <v>14</v>
      </c>
      <c r="AJ12" s="12" t="s">
        <v>15</v>
      </c>
      <c r="AK12" s="12" t="s">
        <v>43</v>
      </c>
      <c r="AL12" s="12" t="s">
        <v>79</v>
      </c>
      <c r="AM12" s="12" t="s">
        <v>45</v>
      </c>
      <c r="AN12" s="29" t="s">
        <v>80</v>
      </c>
      <c r="AO12" s="14" t="s">
        <v>80</v>
      </c>
    </row>
    <row r="13" spans="1:41" s="28" customFormat="1" ht="15" customHeight="1">
      <c r="A13" s="154" t="s">
        <v>81</v>
      </c>
      <c r="B13" s="154"/>
      <c r="C13" s="154"/>
      <c r="D13" s="154"/>
      <c r="E13" s="154"/>
      <c r="F13" s="154"/>
      <c r="G13" s="26"/>
      <c r="H13" s="20">
        <v>35</v>
      </c>
      <c r="I13" s="19" t="s">
        <v>82</v>
      </c>
      <c r="J13" s="20" t="s">
        <v>83</v>
      </c>
      <c r="K13" s="26"/>
      <c r="L13" s="27"/>
      <c r="M13" s="27"/>
      <c r="N13" s="27"/>
      <c r="O13" s="26"/>
      <c r="P13" s="26"/>
      <c r="Q13" s="26"/>
      <c r="R13" s="26"/>
      <c r="S13" s="26"/>
      <c r="T13" s="26"/>
      <c r="U13" s="26"/>
      <c r="V13" s="26"/>
      <c r="W13" s="26"/>
      <c r="AG13" s="10" t="s">
        <v>84</v>
      </c>
      <c r="AH13" s="11">
        <v>1119</v>
      </c>
      <c r="AI13" s="12" t="s">
        <v>14</v>
      </c>
      <c r="AJ13" s="12" t="s">
        <v>21</v>
      </c>
      <c r="AK13" s="12" t="s">
        <v>50</v>
      </c>
      <c r="AL13" s="12" t="s">
        <v>85</v>
      </c>
      <c r="AM13" s="12" t="s">
        <v>52</v>
      </c>
      <c r="AN13" s="29" t="s">
        <v>86</v>
      </c>
      <c r="AO13" s="29" t="s">
        <v>86</v>
      </c>
    </row>
    <row r="14" spans="1:41" s="28" customFormat="1" ht="20" customHeight="1">
      <c r="A14" s="166" t="s">
        <v>371</v>
      </c>
      <c r="B14" s="166"/>
      <c r="C14" s="166"/>
      <c r="D14" s="166"/>
      <c r="E14" s="166"/>
      <c r="F14" s="166"/>
      <c r="G14" s="26"/>
      <c r="H14" s="20">
        <v>33</v>
      </c>
      <c r="I14" s="20" t="s">
        <v>87</v>
      </c>
      <c r="J14" s="20" t="s">
        <v>88</v>
      </c>
      <c r="K14" s="26"/>
      <c r="L14" s="27"/>
      <c r="M14" s="27"/>
      <c r="N14" s="27"/>
      <c r="O14" s="26"/>
      <c r="P14" s="26"/>
      <c r="Q14" s="26"/>
      <c r="R14" s="26"/>
      <c r="S14" s="26"/>
      <c r="T14" s="26"/>
      <c r="U14" s="26"/>
      <c r="V14" s="26"/>
      <c r="W14" s="26"/>
      <c r="AG14" s="10" t="s">
        <v>89</v>
      </c>
      <c r="AH14" s="11">
        <v>2236</v>
      </c>
      <c r="AI14" s="12" t="s">
        <v>14</v>
      </c>
      <c r="AJ14" s="12" t="s">
        <v>90</v>
      </c>
      <c r="AK14" s="12" t="s">
        <v>91</v>
      </c>
      <c r="AL14" s="12" t="s">
        <v>92</v>
      </c>
      <c r="AM14" s="12" t="s">
        <v>93</v>
      </c>
      <c r="AN14" s="29" t="s">
        <v>94</v>
      </c>
      <c r="AO14" s="29" t="s">
        <v>94</v>
      </c>
    </row>
    <row r="15" spans="1:41" s="28" customFormat="1" ht="15" customHeight="1">
      <c r="E15" s="26"/>
      <c r="F15" s="26"/>
      <c r="G15" s="26"/>
      <c r="H15" s="20">
        <v>36</v>
      </c>
      <c r="I15" s="19" t="s">
        <v>95</v>
      </c>
      <c r="J15" s="20" t="s">
        <v>96</v>
      </c>
      <c r="K15" s="26"/>
      <c r="L15" s="27"/>
      <c r="M15" s="27"/>
      <c r="N15" s="27"/>
      <c r="O15" s="26"/>
      <c r="P15" s="26"/>
      <c r="Q15" s="26"/>
      <c r="R15" s="26"/>
      <c r="S15" s="26"/>
      <c r="T15" s="26"/>
      <c r="U15" s="26"/>
      <c r="V15" s="26"/>
      <c r="W15" s="26"/>
      <c r="AG15" s="10" t="s">
        <v>97</v>
      </c>
      <c r="AH15" s="11">
        <v>1120</v>
      </c>
      <c r="AI15" s="12" t="s">
        <v>14</v>
      </c>
      <c r="AJ15" s="12" t="s">
        <v>15</v>
      </c>
      <c r="AK15" s="12" t="s">
        <v>98</v>
      </c>
      <c r="AL15" s="12" t="s">
        <v>99</v>
      </c>
      <c r="AM15" s="12" t="s">
        <v>100</v>
      </c>
      <c r="AN15" s="29" t="s">
        <v>101</v>
      </c>
      <c r="AO15" s="29" t="s">
        <v>101</v>
      </c>
    </row>
    <row r="16" spans="1:41" s="16" customFormat="1" ht="20" customHeight="1">
      <c r="A16" s="30" t="s">
        <v>102</v>
      </c>
      <c r="B16" s="167" t="s">
        <v>184</v>
      </c>
      <c r="C16" s="167"/>
      <c r="D16" s="30" t="s">
        <v>104</v>
      </c>
      <c r="E16" s="168">
        <v>43330</v>
      </c>
      <c r="F16" s="168"/>
      <c r="G16" s="31" t="str">
        <f>IF(E16=0,"upiši datum natjecanja!","")</f>
        <v/>
      </c>
      <c r="K16" s="26"/>
      <c r="L16" s="32"/>
      <c r="M16" s="32"/>
      <c r="N16" s="32"/>
      <c r="O16" s="33"/>
      <c r="P16" s="33"/>
      <c r="Q16" s="33"/>
      <c r="R16" s="33"/>
      <c r="S16" s="33"/>
      <c r="T16" s="33"/>
      <c r="U16" s="33"/>
      <c r="V16" s="33"/>
      <c r="W16" s="33"/>
      <c r="AG16" s="10" t="s">
        <v>105</v>
      </c>
      <c r="AH16" s="11">
        <v>1117</v>
      </c>
      <c r="AI16" s="12" t="s">
        <v>14</v>
      </c>
      <c r="AJ16" s="12" t="s">
        <v>15</v>
      </c>
      <c r="AK16" s="12" t="s">
        <v>50</v>
      </c>
      <c r="AL16" s="12" t="s">
        <v>106</v>
      </c>
      <c r="AM16" s="12" t="s">
        <v>52</v>
      </c>
      <c r="AN16" s="17" t="s">
        <v>103</v>
      </c>
      <c r="AO16" s="17" t="s">
        <v>103</v>
      </c>
    </row>
    <row r="17" spans="1:42" s="16" customFormat="1" ht="15" hidden="1" customHeight="1">
      <c r="B17" s="34"/>
      <c r="C17" s="21"/>
      <c r="D17" s="21"/>
      <c r="E17" s="21"/>
      <c r="F17" s="21"/>
      <c r="K17" s="26"/>
      <c r="L17" s="25"/>
      <c r="M17" s="25"/>
      <c r="N17" s="25"/>
      <c r="AG17" s="10" t="s">
        <v>107</v>
      </c>
      <c r="AH17" s="11">
        <v>1082</v>
      </c>
      <c r="AI17" s="12" t="s">
        <v>14</v>
      </c>
      <c r="AJ17" s="12" t="s">
        <v>21</v>
      </c>
      <c r="AK17" s="12" t="s">
        <v>50</v>
      </c>
      <c r="AL17" s="12" t="s">
        <v>108</v>
      </c>
      <c r="AM17" s="12" t="s">
        <v>65</v>
      </c>
      <c r="AN17" s="17" t="s">
        <v>109</v>
      </c>
      <c r="AO17" s="17" t="s">
        <v>109</v>
      </c>
    </row>
    <row r="18" spans="1:42" s="16" customFormat="1" ht="15" hidden="1" customHeight="1">
      <c r="A18" s="35"/>
      <c r="B18" s="169" t="s">
        <v>110</v>
      </c>
      <c r="C18" s="170"/>
      <c r="D18" s="36" t="str">
        <f>LOOKUP(E1,J5:J15,I5:I15)</f>
        <v xml:space="preserve"> - odaberi -</v>
      </c>
      <c r="E18" s="37">
        <f>LOOKUP(E1,J5:J15,H5:H15)</f>
        <v>0</v>
      </c>
      <c r="F18" s="38"/>
      <c r="G18" s="39" t="str">
        <f>IF(E18=0,"upiši šifru kategorije i klase!","")</f>
        <v>upiši šifru kategorije i klase!</v>
      </c>
      <c r="L18" s="9"/>
      <c r="M18" s="9"/>
      <c r="N18" s="25"/>
      <c r="AG18" s="10" t="s">
        <v>111</v>
      </c>
      <c r="AH18" s="11">
        <v>1065</v>
      </c>
      <c r="AI18" s="12" t="s">
        <v>14</v>
      </c>
      <c r="AJ18" s="12" t="s">
        <v>21</v>
      </c>
      <c r="AK18" s="12" t="s">
        <v>22</v>
      </c>
      <c r="AL18" s="12" t="s">
        <v>112</v>
      </c>
      <c r="AM18" s="12" t="s">
        <v>24</v>
      </c>
      <c r="AN18" s="14" t="s">
        <v>113</v>
      </c>
      <c r="AO18" s="14" t="s">
        <v>113</v>
      </c>
    </row>
    <row r="19" spans="1:42" hidden="1">
      <c r="B19" s="40" t="s">
        <v>114</v>
      </c>
      <c r="C19" s="41"/>
      <c r="D19" s="42" t="s">
        <v>115</v>
      </c>
      <c r="E19" s="43" t="s">
        <v>116</v>
      </c>
      <c r="G19" s="44"/>
      <c r="L19" s="45"/>
      <c r="M19" s="45"/>
      <c r="N19" s="46"/>
      <c r="AG19" s="10" t="s">
        <v>117</v>
      </c>
      <c r="AH19" s="11">
        <v>1055</v>
      </c>
      <c r="AI19" s="12" t="s">
        <v>14</v>
      </c>
      <c r="AJ19" s="12" t="s">
        <v>21</v>
      </c>
      <c r="AK19" s="12" t="s">
        <v>118</v>
      </c>
      <c r="AL19" s="12" t="s">
        <v>119</v>
      </c>
      <c r="AM19" s="12" t="s">
        <v>120</v>
      </c>
      <c r="AN19" s="14" t="s">
        <v>121</v>
      </c>
      <c r="AO19" s="17" t="s">
        <v>122</v>
      </c>
    </row>
    <row r="20" spans="1:42" hidden="1">
      <c r="B20" s="40" t="s">
        <v>123</v>
      </c>
      <c r="C20" s="41"/>
      <c r="D20" s="42" t="s">
        <v>124</v>
      </c>
      <c r="E20" s="43" t="s">
        <v>125</v>
      </c>
      <c r="L20" s="45"/>
      <c r="M20" s="45"/>
      <c r="N20" s="46"/>
      <c r="AG20" s="10" t="s">
        <v>126</v>
      </c>
      <c r="AH20" s="11">
        <v>1078</v>
      </c>
      <c r="AI20" s="12" t="s">
        <v>14</v>
      </c>
      <c r="AJ20" s="12" t="s">
        <v>21</v>
      </c>
      <c r="AK20" s="12" t="s">
        <v>28</v>
      </c>
      <c r="AL20" s="12" t="s">
        <v>127</v>
      </c>
      <c r="AM20" s="12" t="s">
        <v>128</v>
      </c>
      <c r="AN20" s="14" t="s">
        <v>129</v>
      </c>
      <c r="AO20" s="14" t="s">
        <v>129</v>
      </c>
    </row>
    <row r="21" spans="1:42" ht="15" hidden="1">
      <c r="B21" s="40" t="s">
        <v>130</v>
      </c>
      <c r="C21" s="41"/>
      <c r="D21" s="42" t="s">
        <v>131</v>
      </c>
      <c r="E21" s="43" t="s">
        <v>132</v>
      </c>
      <c r="K21" s="26"/>
      <c r="AG21" s="10" t="s">
        <v>133</v>
      </c>
      <c r="AH21" s="11">
        <v>1087</v>
      </c>
      <c r="AI21" s="12" t="s">
        <v>14</v>
      </c>
      <c r="AJ21" s="12" t="s">
        <v>21</v>
      </c>
      <c r="AK21" s="12" t="s">
        <v>91</v>
      </c>
      <c r="AL21" s="12" t="s">
        <v>134</v>
      </c>
      <c r="AM21" s="12" t="s">
        <v>93</v>
      </c>
      <c r="AN21" s="14" t="s">
        <v>135</v>
      </c>
      <c r="AO21" s="14" t="s">
        <v>135</v>
      </c>
    </row>
    <row r="22" spans="1:42" ht="15" hidden="1">
      <c r="B22" s="47" t="s">
        <v>136</v>
      </c>
      <c r="C22" s="48"/>
      <c r="D22" s="49"/>
      <c r="E22" s="50"/>
      <c r="J22" s="26"/>
      <c r="K22" s="26"/>
      <c r="AG22" s="10" t="s">
        <v>137</v>
      </c>
      <c r="AH22" s="11">
        <v>1099</v>
      </c>
      <c r="AI22" s="12" t="s">
        <v>14</v>
      </c>
      <c r="AJ22" s="12" t="s">
        <v>21</v>
      </c>
      <c r="AK22" s="12" t="s">
        <v>35</v>
      </c>
      <c r="AL22" s="12" t="s">
        <v>138</v>
      </c>
      <c r="AM22" s="12" t="s">
        <v>37</v>
      </c>
      <c r="AN22" s="14" t="s">
        <v>139</v>
      </c>
      <c r="AO22" s="14" t="s">
        <v>139</v>
      </c>
    </row>
    <row r="23" spans="1:42" ht="12.75" customHeight="1">
      <c r="B23" s="14"/>
      <c r="C23" s="14"/>
      <c r="D23" s="14"/>
      <c r="E23" s="14"/>
      <c r="H23" s="45"/>
      <c r="I23" s="45"/>
      <c r="J23" s="45"/>
      <c r="K23" s="45"/>
      <c r="L23" s="45"/>
      <c r="N23" s="171" t="s">
        <v>140</v>
      </c>
      <c r="O23" s="172"/>
      <c r="P23" s="172"/>
      <c r="Q23" s="173"/>
      <c r="R23" s="51"/>
      <c r="S23" s="182" t="s">
        <v>141</v>
      </c>
      <c r="T23" s="183"/>
      <c r="U23" s="183"/>
      <c r="V23" s="184"/>
      <c r="W23" s="52"/>
      <c r="X23" s="175" t="s">
        <v>142</v>
      </c>
      <c r="Y23" s="176"/>
      <c r="Z23" s="177"/>
      <c r="AA23" s="53"/>
      <c r="AB23" s="178" t="s">
        <v>143</v>
      </c>
      <c r="AC23" s="179"/>
      <c r="AD23" s="180"/>
      <c r="AE23" s="54"/>
      <c r="AG23" s="10" t="s">
        <v>144</v>
      </c>
      <c r="AH23" s="11">
        <v>1122</v>
      </c>
      <c r="AI23" s="12" t="s">
        <v>14</v>
      </c>
      <c r="AJ23" s="12" t="s">
        <v>15</v>
      </c>
      <c r="AK23" s="12" t="s">
        <v>145</v>
      </c>
      <c r="AL23" s="12" t="s">
        <v>146</v>
      </c>
      <c r="AM23" s="12" t="s">
        <v>147</v>
      </c>
      <c r="AN23" s="55" t="s">
        <v>148</v>
      </c>
      <c r="AO23" s="17" t="s">
        <v>122</v>
      </c>
    </row>
    <row r="24" spans="1:42" s="78" customFormat="1" ht="30">
      <c r="A24" s="56" t="s">
        <v>149</v>
      </c>
      <c r="B24" s="181" t="s">
        <v>150</v>
      </c>
      <c r="C24" s="181"/>
      <c r="D24" s="57" t="s">
        <v>151</v>
      </c>
      <c r="E24" s="58" t="s">
        <v>152</v>
      </c>
      <c r="F24" s="59" t="s">
        <v>153</v>
      </c>
      <c r="G24" s="60" t="s">
        <v>154</v>
      </c>
      <c r="H24" s="61" t="s">
        <v>155</v>
      </c>
      <c r="I24" s="61" t="s">
        <v>156</v>
      </c>
      <c r="J24" s="61" t="s">
        <v>157</v>
      </c>
      <c r="K24" s="61" t="s">
        <v>158</v>
      </c>
      <c r="L24" s="61" t="s">
        <v>159</v>
      </c>
      <c r="M24" s="62" t="s">
        <v>160</v>
      </c>
      <c r="N24" s="63" t="s">
        <v>161</v>
      </c>
      <c r="O24" s="64" t="s">
        <v>162</v>
      </c>
      <c r="P24" s="64" t="s">
        <v>163</v>
      </c>
      <c r="Q24" s="65" t="s">
        <v>164</v>
      </c>
      <c r="R24" s="66" t="s">
        <v>165</v>
      </c>
      <c r="S24" s="67" t="s">
        <v>161</v>
      </c>
      <c r="T24" s="68" t="s">
        <v>162</v>
      </c>
      <c r="U24" s="69" t="s">
        <v>163</v>
      </c>
      <c r="V24" s="70" t="s">
        <v>164</v>
      </c>
      <c r="W24" s="69" t="s">
        <v>165</v>
      </c>
      <c r="X24" s="71" t="s">
        <v>161</v>
      </c>
      <c r="Y24" s="72" t="s">
        <v>163</v>
      </c>
      <c r="Z24" s="73" t="s">
        <v>164</v>
      </c>
      <c r="AA24" s="74" t="s">
        <v>165</v>
      </c>
      <c r="AB24" s="71" t="s">
        <v>161</v>
      </c>
      <c r="AC24" s="75" t="s">
        <v>163</v>
      </c>
      <c r="AD24" s="76" t="s">
        <v>164</v>
      </c>
      <c r="AE24" s="77" t="s">
        <v>165</v>
      </c>
      <c r="AG24" s="10" t="s">
        <v>166</v>
      </c>
      <c r="AH24" s="11">
        <v>1068</v>
      </c>
      <c r="AI24" s="12" t="s">
        <v>14</v>
      </c>
      <c r="AJ24" s="12" t="s">
        <v>21</v>
      </c>
      <c r="AK24" s="12" t="s">
        <v>16</v>
      </c>
      <c r="AL24" s="12" t="s">
        <v>167</v>
      </c>
      <c r="AM24" s="12" t="s">
        <v>18</v>
      </c>
      <c r="AN24" s="17" t="s">
        <v>168</v>
      </c>
      <c r="AO24" s="17" t="s">
        <v>168</v>
      </c>
    </row>
    <row r="25" spans="1:42" s="4" customFormat="1" ht="22" customHeight="1">
      <c r="A25" s="79" t="s">
        <v>13</v>
      </c>
      <c r="B25" s="174"/>
      <c r="C25" s="174"/>
      <c r="D25" s="80"/>
      <c r="E25" s="81"/>
      <c r="F25" s="82" t="str">
        <f>IF(OR(E25=0,E16=0,E18=0),"",IF(M25&lt;20,P25,IF(M25&lt;30,U25,IF(M25&lt;34,Y25,IF(M25&lt;37,AC25)))))</f>
        <v/>
      </c>
      <c r="G25" s="83" t="str">
        <f>IF(AND(E16=0,E18=0,E25=0),"",IF(OR(E16=0,E18=0,E25=0),"nedostaju datumi ili kategorija",IF(OR(E25=0,I25=0),"nisu upisani svi datumi!",IF(M25&lt;20,Q25,IF(M25&lt;30,V25,IF(M25&lt;34,Z25,IF(M25&lt;37,AD25)))))))</f>
        <v>nedostaju datumi ili kategorija</v>
      </c>
      <c r="H25" s="84" t="str">
        <f t="shared" ref="H25:H34" si="0">IF(E25=0,"",YEAR(E25))</f>
        <v/>
      </c>
      <c r="I25" s="85">
        <f>IF(E16=0,"",E16)</f>
        <v>43330</v>
      </c>
      <c r="J25" s="84">
        <f t="shared" ref="J25:J36" si="1">DAY(I25)</f>
        <v>18</v>
      </c>
      <c r="K25" s="84">
        <f t="shared" ref="K25:K36" si="2">MONTH(I25)</f>
        <v>8</v>
      </c>
      <c r="L25" s="84">
        <f t="shared" ref="L25:L36" si="3">YEAR(I25)</f>
        <v>2018</v>
      </c>
      <c r="M25" s="4" t="str">
        <f>IF(E18=0,"",E18)</f>
        <v/>
      </c>
      <c r="N25" s="86">
        <f t="shared" ref="N25:N34" si="4">ROUNDDOWN(YEARFRAC(E25,I25,0),0)</f>
        <v>118</v>
      </c>
      <c r="O25" s="87">
        <f>DATE(L25-12,1,1)</f>
        <v>38718</v>
      </c>
      <c r="P25" s="88" t="str">
        <f t="shared" ref="P25:P34" si="5">IF(N25&lt;6,6,IF(E25&lt;O25,"prestar",N25))</f>
        <v>prestar</v>
      </c>
      <c r="Q25" s="89" t="str">
        <f t="shared" ref="Q25:Q34" si="6">IF(N25&lt;5,"zar nije ipak malo premlad?",IF(N25&lt;6,"obračunava se 6 godina!",IF(E25&lt;O25,"ne spada u ovu kategoriju!","OK")))</f>
        <v>ne spada u ovu kategoriju!</v>
      </c>
      <c r="R25" s="88">
        <f t="shared" ref="R25:R34" si="7">IF(E25&lt;O25,0,1)</f>
        <v>0</v>
      </c>
      <c r="S25" s="86">
        <f t="shared" ref="S25:S34" si="8">ROUNDDOWN(YEARFRAC(E25,I25,0),0)</f>
        <v>118</v>
      </c>
      <c r="T25" s="90">
        <f>DATE(L25-16,1,1)</f>
        <v>37257</v>
      </c>
      <c r="U25" s="91" t="str">
        <f t="shared" ref="U25:U34" si="9">IF(S25&lt;12,12,IF(E25&lt;T25,"prestar",S25))</f>
        <v>prestar</v>
      </c>
      <c r="V25" s="92" t="str">
        <f t="shared" ref="V25:V34" si="10">IF(S25&lt;10,"zar nije ipak malo premlad?",IF(S25&lt;12,"obračunava se 12 godina!",IF(E25&lt;T25,"ne spada u ovu kategoriju!","OK")))</f>
        <v>ne spada u ovu kategoriju!</v>
      </c>
      <c r="W25" s="91">
        <f t="shared" ref="W25:W34" si="11">IF(E25&lt;T25,0,1)</f>
        <v>0</v>
      </c>
      <c r="X25" s="93" t="str">
        <f t="shared" ref="X25:X34" si="12">IF(E25=0,"",L25-YEAR(E25))</f>
        <v/>
      </c>
      <c r="Y25" s="94">
        <f t="shared" ref="Y25:Y34" si="13">IF(X25&lt;0,"",IF(X25&lt;16,"premlad",IF(X25&gt;65,65,X25)))</f>
        <v>65</v>
      </c>
      <c r="Z25" s="95" t="str">
        <f t="shared" ref="Z25:Z32" si="14">IF(X25&lt;0,"",IF(X25&lt;16,"ne spada u ovu kategoriju!",IF(X25&gt;=65,"obračunava se 65 godina!","OK")))</f>
        <v>obračunava se 65 godina!</v>
      </c>
      <c r="AA25" s="96">
        <f t="shared" ref="AA25:AA34" si="15">IF(L25-16&gt;=H25,1,0)</f>
        <v>0</v>
      </c>
      <c r="AB25" s="93" t="str">
        <f t="shared" ref="AB25:AB34" si="16">IF(E25=0,"",L25-YEAR(E25))</f>
        <v/>
      </c>
      <c r="AC25" s="97">
        <f t="shared" ref="AC25:AC34" si="17">IF(AB25&lt;0,"",IF(AB25&lt;30,"premlad",IF(AB25&gt;65,65,AB25)))</f>
        <v>65</v>
      </c>
      <c r="AD25" s="98" t="e">
        <f t="shared" ref="AD25:AD32" si="18">IF(AB25&lt;30,"ne spada u ovu kategoriju!",IF(SUM(L25-H25)&gt;65,"obračunava se 65 godina!","OK"))</f>
        <v>#VALUE!</v>
      </c>
      <c r="AE25" s="99">
        <f t="shared" ref="AE25:AE34" si="19">IF(L25-30&gt;=H25,1,0)</f>
        <v>0</v>
      </c>
      <c r="AG25" s="10" t="s">
        <v>169</v>
      </c>
      <c r="AH25" s="11">
        <v>1084</v>
      </c>
      <c r="AI25" s="12" t="s">
        <v>14</v>
      </c>
      <c r="AJ25" s="12" t="s">
        <v>21</v>
      </c>
      <c r="AK25" s="12" t="s">
        <v>50</v>
      </c>
      <c r="AL25" s="12" t="s">
        <v>170</v>
      </c>
      <c r="AM25" s="12" t="s">
        <v>65</v>
      </c>
      <c r="AN25" s="17" t="s">
        <v>171</v>
      </c>
      <c r="AO25" s="17" t="s">
        <v>171</v>
      </c>
      <c r="AP25" s="78"/>
    </row>
    <row r="26" spans="1:42" s="4" customFormat="1" ht="22" customHeight="1">
      <c r="A26" s="100" t="s">
        <v>20</v>
      </c>
      <c r="B26" s="174"/>
      <c r="C26" s="174"/>
      <c r="D26" s="80"/>
      <c r="E26" s="81"/>
      <c r="F26" s="82" t="str">
        <f>IF(OR(E26=0,E16=0,E18=0),"",IF(M26&lt;20,P26,IF(M26&lt;30,U26,IF(M26&lt;34,Y26,IF(M26&lt;37,AC26)))))</f>
        <v/>
      </c>
      <c r="G26" s="83" t="str">
        <f>IF(AND(E16=0,E18=0,E26=0),"",IF(OR(E16=0,E18=0,E26=0),"nedostaju datumi ili kategorija",IF(OR(E26=0,I26=0),"nisu upisani svi datumi!",IF(M26&lt;20,Q26,IF(M26&lt;30,V26,IF(M26&lt;34,Z26,IF(M26&lt;37,AD26)))))))</f>
        <v>nedostaju datumi ili kategorija</v>
      </c>
      <c r="H26" s="84" t="str">
        <f t="shared" si="0"/>
        <v/>
      </c>
      <c r="I26" s="85">
        <f t="shared" ref="I26:I36" si="20">IF(I25=0,"",I25)</f>
        <v>43330</v>
      </c>
      <c r="J26" s="84">
        <f t="shared" si="1"/>
        <v>18</v>
      </c>
      <c r="K26" s="84">
        <f t="shared" si="2"/>
        <v>8</v>
      </c>
      <c r="L26" s="84">
        <f t="shared" si="3"/>
        <v>2018</v>
      </c>
      <c r="M26" s="4" t="str">
        <f t="shared" ref="M26:M36" si="21">IF(M25=0,"",M25)</f>
        <v/>
      </c>
      <c r="N26" s="86">
        <f t="shared" si="4"/>
        <v>118</v>
      </c>
      <c r="O26" s="87">
        <f t="shared" ref="O26:O34" si="22">O25</f>
        <v>38718</v>
      </c>
      <c r="P26" s="88" t="str">
        <f t="shared" si="5"/>
        <v>prestar</v>
      </c>
      <c r="Q26" s="89" t="str">
        <f t="shared" si="6"/>
        <v>ne spada u ovu kategoriju!</v>
      </c>
      <c r="R26" s="88">
        <f t="shared" si="7"/>
        <v>0</v>
      </c>
      <c r="S26" s="86">
        <f t="shared" si="8"/>
        <v>118</v>
      </c>
      <c r="T26" s="90">
        <f t="shared" ref="T26:T34" si="23">T25</f>
        <v>37257</v>
      </c>
      <c r="U26" s="91" t="str">
        <f t="shared" si="9"/>
        <v>prestar</v>
      </c>
      <c r="V26" s="92" t="str">
        <f t="shared" si="10"/>
        <v>ne spada u ovu kategoriju!</v>
      </c>
      <c r="W26" s="91">
        <f t="shared" si="11"/>
        <v>0</v>
      </c>
      <c r="X26" s="93" t="str">
        <f t="shared" si="12"/>
        <v/>
      </c>
      <c r="Y26" s="94">
        <f t="shared" si="13"/>
        <v>65</v>
      </c>
      <c r="Z26" s="95" t="str">
        <f t="shared" si="14"/>
        <v>obračunava se 65 godina!</v>
      </c>
      <c r="AA26" s="96">
        <f t="shared" si="15"/>
        <v>0</v>
      </c>
      <c r="AB26" s="93" t="str">
        <f t="shared" si="16"/>
        <v/>
      </c>
      <c r="AC26" s="97">
        <f t="shared" si="17"/>
        <v>65</v>
      </c>
      <c r="AD26" s="98" t="e">
        <f t="shared" si="18"/>
        <v>#VALUE!</v>
      </c>
      <c r="AE26" s="99">
        <f t="shared" si="19"/>
        <v>0</v>
      </c>
      <c r="AG26" s="10" t="s">
        <v>172</v>
      </c>
      <c r="AH26" s="11">
        <v>1111</v>
      </c>
      <c r="AI26" s="12" t="s">
        <v>14</v>
      </c>
      <c r="AJ26" s="12" t="s">
        <v>21</v>
      </c>
      <c r="AK26" s="12" t="s">
        <v>71</v>
      </c>
      <c r="AL26" s="12" t="s">
        <v>173</v>
      </c>
      <c r="AM26" s="12" t="s">
        <v>174</v>
      </c>
      <c r="AN26" s="17" t="s">
        <v>175</v>
      </c>
      <c r="AO26" s="17" t="s">
        <v>175</v>
      </c>
      <c r="AP26" s="78"/>
    </row>
    <row r="27" spans="1:42" s="4" customFormat="1" ht="22" customHeight="1">
      <c r="A27" s="100" t="s">
        <v>27</v>
      </c>
      <c r="B27" s="174"/>
      <c r="C27" s="174"/>
      <c r="D27" s="80"/>
      <c r="E27" s="81"/>
      <c r="F27" s="82" t="str">
        <f>IF(OR(E27=0,E16=0,E18=0),"",IF(M27&lt;20,P27,IF(M27&lt;30,U27,IF(M27&lt;34,Y27,IF(M27&lt;37,AC27)))))</f>
        <v/>
      </c>
      <c r="G27" s="83" t="str">
        <f>IF(AND(E16=0,E18=0,E27=0),"",IF(OR(E16=0,E18=0,E27=0),"nedostaju datumi ili kategorija",IF(OR(E27=0,I27=0),"nisu upisani svi datumi!",IF(M27&lt;20,Q27,IF(M27&lt;30,V27,IF(M27&lt;34,Z27,IF(M27&lt;37,AD27)))))))</f>
        <v>nedostaju datumi ili kategorija</v>
      </c>
      <c r="H27" s="84" t="str">
        <f t="shared" si="0"/>
        <v/>
      </c>
      <c r="I27" s="85">
        <f t="shared" si="20"/>
        <v>43330</v>
      </c>
      <c r="J27" s="84">
        <f t="shared" si="1"/>
        <v>18</v>
      </c>
      <c r="K27" s="84">
        <f t="shared" si="2"/>
        <v>8</v>
      </c>
      <c r="L27" s="84">
        <f t="shared" si="3"/>
        <v>2018</v>
      </c>
      <c r="M27" s="4" t="str">
        <f t="shared" si="21"/>
        <v/>
      </c>
      <c r="N27" s="86">
        <f t="shared" si="4"/>
        <v>118</v>
      </c>
      <c r="O27" s="87">
        <f t="shared" si="22"/>
        <v>38718</v>
      </c>
      <c r="P27" s="88" t="str">
        <f t="shared" si="5"/>
        <v>prestar</v>
      </c>
      <c r="Q27" s="89" t="str">
        <f t="shared" si="6"/>
        <v>ne spada u ovu kategoriju!</v>
      </c>
      <c r="R27" s="88">
        <f t="shared" si="7"/>
        <v>0</v>
      </c>
      <c r="S27" s="86">
        <f t="shared" si="8"/>
        <v>118</v>
      </c>
      <c r="T27" s="90">
        <f t="shared" si="23"/>
        <v>37257</v>
      </c>
      <c r="U27" s="91" t="str">
        <f t="shared" si="9"/>
        <v>prestar</v>
      </c>
      <c r="V27" s="92" t="str">
        <f t="shared" si="10"/>
        <v>ne spada u ovu kategoriju!</v>
      </c>
      <c r="W27" s="91">
        <f t="shared" si="11"/>
        <v>0</v>
      </c>
      <c r="X27" s="93" t="str">
        <f t="shared" si="12"/>
        <v/>
      </c>
      <c r="Y27" s="94">
        <f t="shared" si="13"/>
        <v>65</v>
      </c>
      <c r="Z27" s="95" t="str">
        <f t="shared" si="14"/>
        <v>obračunava se 65 godina!</v>
      </c>
      <c r="AA27" s="96">
        <f t="shared" si="15"/>
        <v>0</v>
      </c>
      <c r="AB27" s="93" t="str">
        <f t="shared" si="16"/>
        <v/>
      </c>
      <c r="AC27" s="97">
        <f t="shared" si="17"/>
        <v>65</v>
      </c>
      <c r="AD27" s="98" t="e">
        <f t="shared" si="18"/>
        <v>#VALUE!</v>
      </c>
      <c r="AE27" s="99">
        <f t="shared" si="19"/>
        <v>0</v>
      </c>
      <c r="AG27" s="10" t="s">
        <v>176</v>
      </c>
      <c r="AH27" s="11">
        <v>1121</v>
      </c>
      <c r="AI27" s="12" t="s">
        <v>14</v>
      </c>
      <c r="AJ27" s="12" t="s">
        <v>15</v>
      </c>
      <c r="AK27" s="12" t="s">
        <v>98</v>
      </c>
      <c r="AL27" s="12" t="s">
        <v>177</v>
      </c>
      <c r="AM27" s="12" t="s">
        <v>100</v>
      </c>
      <c r="AN27" s="17" t="s">
        <v>122</v>
      </c>
      <c r="AO27" s="17" t="s">
        <v>178</v>
      </c>
      <c r="AP27" s="78"/>
    </row>
    <row r="28" spans="1:42" s="4" customFormat="1" ht="22" customHeight="1">
      <c r="A28" s="100" t="s">
        <v>34</v>
      </c>
      <c r="B28" s="174"/>
      <c r="C28" s="174"/>
      <c r="D28" s="80"/>
      <c r="E28" s="81"/>
      <c r="F28" s="82" t="str">
        <f>IF(OR(E28=0,E16=0,E18=0),"",IF(M28&lt;20,P28,IF(M28&lt;30,U28,IF(M28&lt;34,Y28,IF(M28&lt;37,AC28)))))</f>
        <v/>
      </c>
      <c r="G28" s="83" t="str">
        <f>IF(AND(E16=0,E18=0,E28=0),"",IF(OR(E16=0,E18=0,E28=0),"nedostaju datumi ili kategorija",IF(OR(E28=0,I28=0),"nisu upisani svi datumi!",IF(M28&lt;20,Q28,IF(M28&lt;30,V28,IF(M28&lt;34,Z28,IF(M28&lt;37,AD28)))))))</f>
        <v>nedostaju datumi ili kategorija</v>
      </c>
      <c r="H28" s="84" t="str">
        <f t="shared" si="0"/>
        <v/>
      </c>
      <c r="I28" s="85">
        <f t="shared" si="20"/>
        <v>43330</v>
      </c>
      <c r="J28" s="84">
        <f t="shared" si="1"/>
        <v>18</v>
      </c>
      <c r="K28" s="84">
        <f t="shared" si="2"/>
        <v>8</v>
      </c>
      <c r="L28" s="84">
        <f t="shared" si="3"/>
        <v>2018</v>
      </c>
      <c r="M28" s="4" t="str">
        <f t="shared" si="21"/>
        <v/>
      </c>
      <c r="N28" s="86">
        <f t="shared" si="4"/>
        <v>118</v>
      </c>
      <c r="O28" s="87">
        <f t="shared" si="22"/>
        <v>38718</v>
      </c>
      <c r="P28" s="88" t="str">
        <f t="shared" si="5"/>
        <v>prestar</v>
      </c>
      <c r="Q28" s="89" t="str">
        <f t="shared" si="6"/>
        <v>ne spada u ovu kategoriju!</v>
      </c>
      <c r="R28" s="88">
        <f t="shared" si="7"/>
        <v>0</v>
      </c>
      <c r="S28" s="86">
        <f t="shared" si="8"/>
        <v>118</v>
      </c>
      <c r="T28" s="90">
        <f t="shared" si="23"/>
        <v>37257</v>
      </c>
      <c r="U28" s="91" t="str">
        <f t="shared" si="9"/>
        <v>prestar</v>
      </c>
      <c r="V28" s="92" t="str">
        <f t="shared" si="10"/>
        <v>ne spada u ovu kategoriju!</v>
      </c>
      <c r="W28" s="91">
        <f t="shared" si="11"/>
        <v>0</v>
      </c>
      <c r="X28" s="93" t="str">
        <f t="shared" si="12"/>
        <v/>
      </c>
      <c r="Y28" s="94">
        <f t="shared" si="13"/>
        <v>65</v>
      </c>
      <c r="Z28" s="95" t="str">
        <f t="shared" si="14"/>
        <v>obračunava se 65 godina!</v>
      </c>
      <c r="AA28" s="96">
        <f t="shared" si="15"/>
        <v>0</v>
      </c>
      <c r="AB28" s="93" t="str">
        <f t="shared" si="16"/>
        <v/>
      </c>
      <c r="AC28" s="97">
        <f t="shared" si="17"/>
        <v>65</v>
      </c>
      <c r="AD28" s="98" t="e">
        <f t="shared" si="18"/>
        <v>#VALUE!</v>
      </c>
      <c r="AE28" s="99">
        <f t="shared" si="19"/>
        <v>0</v>
      </c>
      <c r="AG28" s="10" t="s">
        <v>179</v>
      </c>
      <c r="AH28" s="11">
        <v>1103</v>
      </c>
      <c r="AI28" s="12" t="s">
        <v>14</v>
      </c>
      <c r="AJ28" s="12" t="s">
        <v>21</v>
      </c>
      <c r="AK28" s="12" t="s">
        <v>35</v>
      </c>
      <c r="AL28" s="12" t="s">
        <v>180</v>
      </c>
      <c r="AM28" s="12" t="s">
        <v>37</v>
      </c>
      <c r="AN28" s="17" t="s">
        <v>178</v>
      </c>
      <c r="AO28" s="17" t="s">
        <v>181</v>
      </c>
      <c r="AP28" s="78"/>
    </row>
    <row r="29" spans="1:42" s="4" customFormat="1" ht="22" customHeight="1">
      <c r="A29" s="100" t="s">
        <v>42</v>
      </c>
      <c r="B29" s="174"/>
      <c r="C29" s="174"/>
      <c r="D29" s="80"/>
      <c r="E29" s="81"/>
      <c r="F29" s="82" t="str">
        <f>IF(OR(E29=0,E16=0,E18=0),"",IF(M29&lt;20,P29,IF(M29&lt;30,U29,IF(M29&lt;34,Y29,IF(M29&lt;37,AC29)))))</f>
        <v/>
      </c>
      <c r="G29" s="83" t="str">
        <f>IF(AND(E16=0,E18=0,E29=0),"",IF(OR(E16=0,E18=0,E29=0),"nedostaju datumi ili kategorija",IF(OR(E29=0,I29=0),"nisu upisani svi datumi!",IF(M29&lt;20,Q29,IF(M29&lt;30,V29,IF(M29&lt;34,Z29,IF(M29&lt;37,AD29)))))))</f>
        <v>nedostaju datumi ili kategorija</v>
      </c>
      <c r="H29" s="84" t="str">
        <f t="shared" si="0"/>
        <v/>
      </c>
      <c r="I29" s="85">
        <f t="shared" si="20"/>
        <v>43330</v>
      </c>
      <c r="J29" s="84">
        <f t="shared" si="1"/>
        <v>18</v>
      </c>
      <c r="K29" s="84">
        <f t="shared" si="2"/>
        <v>8</v>
      </c>
      <c r="L29" s="84">
        <f t="shared" si="3"/>
        <v>2018</v>
      </c>
      <c r="M29" s="4" t="str">
        <f t="shared" si="21"/>
        <v/>
      </c>
      <c r="N29" s="86">
        <f t="shared" si="4"/>
        <v>118</v>
      </c>
      <c r="O29" s="87">
        <f t="shared" si="22"/>
        <v>38718</v>
      </c>
      <c r="P29" s="88" t="str">
        <f t="shared" si="5"/>
        <v>prestar</v>
      </c>
      <c r="Q29" s="89" t="str">
        <f t="shared" si="6"/>
        <v>ne spada u ovu kategoriju!</v>
      </c>
      <c r="R29" s="88">
        <f t="shared" si="7"/>
        <v>0</v>
      </c>
      <c r="S29" s="86">
        <f t="shared" si="8"/>
        <v>118</v>
      </c>
      <c r="T29" s="90">
        <f t="shared" si="23"/>
        <v>37257</v>
      </c>
      <c r="U29" s="91" t="str">
        <f t="shared" si="9"/>
        <v>prestar</v>
      </c>
      <c r="V29" s="92" t="str">
        <f t="shared" si="10"/>
        <v>ne spada u ovu kategoriju!</v>
      </c>
      <c r="W29" s="91">
        <f t="shared" si="11"/>
        <v>0</v>
      </c>
      <c r="X29" s="93" t="str">
        <f t="shared" si="12"/>
        <v/>
      </c>
      <c r="Y29" s="94">
        <f t="shared" si="13"/>
        <v>65</v>
      </c>
      <c r="Z29" s="95" t="str">
        <f t="shared" si="14"/>
        <v>obračunava se 65 godina!</v>
      </c>
      <c r="AA29" s="96">
        <f t="shared" si="15"/>
        <v>0</v>
      </c>
      <c r="AB29" s="93" t="str">
        <f t="shared" si="16"/>
        <v/>
      </c>
      <c r="AC29" s="97">
        <f t="shared" si="17"/>
        <v>65</v>
      </c>
      <c r="AD29" s="98" t="e">
        <f t="shared" si="18"/>
        <v>#VALUE!</v>
      </c>
      <c r="AE29" s="99">
        <f t="shared" si="19"/>
        <v>0</v>
      </c>
      <c r="AG29" s="10" t="s">
        <v>182</v>
      </c>
      <c r="AH29" s="11">
        <v>1124</v>
      </c>
      <c r="AI29" s="12" t="s">
        <v>14</v>
      </c>
      <c r="AJ29" s="12" t="s">
        <v>15</v>
      </c>
      <c r="AK29" s="12" t="s">
        <v>145</v>
      </c>
      <c r="AL29" s="12" t="s">
        <v>183</v>
      </c>
      <c r="AM29" s="12" t="s">
        <v>147</v>
      </c>
      <c r="AN29" s="17" t="s">
        <v>181</v>
      </c>
      <c r="AO29" s="17" t="s">
        <v>184</v>
      </c>
      <c r="AP29" s="78"/>
    </row>
    <row r="30" spans="1:42" s="4" customFormat="1" ht="22" customHeight="1">
      <c r="A30" s="100" t="s">
        <v>49</v>
      </c>
      <c r="B30" s="174"/>
      <c r="C30" s="174"/>
      <c r="D30" s="80"/>
      <c r="E30" s="81"/>
      <c r="F30" s="82" t="str">
        <f>IF(OR(E30=0,E16=0,E18=0),"",IF(M30&lt;20,P30,IF(M30&lt;30,U30,IF(M30&lt;34,Y30,IF(M30&lt;37,AC30)))))</f>
        <v/>
      </c>
      <c r="G30" s="83" t="str">
        <f>IF(AND(E16=0,E18=0,E30=0),"",IF(OR(E16=0,E18=0,E30=0),"nedostaju datumi ili kategorija",IF(OR(E30=0,I30=0),"nisu upisani svi datumi!",IF(M30&lt;20,Q30,IF(M30&lt;30,V30,IF(M30&lt;34,Z30,IF(M30&lt;37,AD30)))))))</f>
        <v>nedostaju datumi ili kategorija</v>
      </c>
      <c r="H30" s="84" t="str">
        <f t="shared" si="0"/>
        <v/>
      </c>
      <c r="I30" s="85">
        <f t="shared" si="20"/>
        <v>43330</v>
      </c>
      <c r="J30" s="84">
        <f t="shared" si="1"/>
        <v>18</v>
      </c>
      <c r="K30" s="84">
        <f t="shared" si="2"/>
        <v>8</v>
      </c>
      <c r="L30" s="84">
        <f t="shared" si="3"/>
        <v>2018</v>
      </c>
      <c r="M30" s="4" t="str">
        <f t="shared" si="21"/>
        <v/>
      </c>
      <c r="N30" s="86">
        <f t="shared" si="4"/>
        <v>118</v>
      </c>
      <c r="O30" s="87">
        <f t="shared" si="22"/>
        <v>38718</v>
      </c>
      <c r="P30" s="88" t="str">
        <f t="shared" si="5"/>
        <v>prestar</v>
      </c>
      <c r="Q30" s="89" t="str">
        <f t="shared" si="6"/>
        <v>ne spada u ovu kategoriju!</v>
      </c>
      <c r="R30" s="88">
        <f t="shared" si="7"/>
        <v>0</v>
      </c>
      <c r="S30" s="86">
        <f t="shared" si="8"/>
        <v>118</v>
      </c>
      <c r="T30" s="90">
        <f t="shared" si="23"/>
        <v>37257</v>
      </c>
      <c r="U30" s="91" t="str">
        <f t="shared" si="9"/>
        <v>prestar</v>
      </c>
      <c r="V30" s="92" t="str">
        <f t="shared" si="10"/>
        <v>ne spada u ovu kategoriju!</v>
      </c>
      <c r="W30" s="91">
        <f t="shared" si="11"/>
        <v>0</v>
      </c>
      <c r="X30" s="93" t="str">
        <f t="shared" si="12"/>
        <v/>
      </c>
      <c r="Y30" s="94">
        <f t="shared" si="13"/>
        <v>65</v>
      </c>
      <c r="Z30" s="95" t="str">
        <f t="shared" si="14"/>
        <v>obračunava se 65 godina!</v>
      </c>
      <c r="AA30" s="96">
        <f t="shared" si="15"/>
        <v>0</v>
      </c>
      <c r="AB30" s="93" t="str">
        <f t="shared" si="16"/>
        <v/>
      </c>
      <c r="AC30" s="97">
        <f t="shared" si="17"/>
        <v>65</v>
      </c>
      <c r="AD30" s="98" t="e">
        <f t="shared" si="18"/>
        <v>#VALUE!</v>
      </c>
      <c r="AE30" s="99">
        <f t="shared" si="19"/>
        <v>0</v>
      </c>
      <c r="AG30" s="10" t="s">
        <v>185</v>
      </c>
      <c r="AH30" s="11">
        <v>1125</v>
      </c>
      <c r="AI30" s="12" t="s">
        <v>14</v>
      </c>
      <c r="AJ30" s="12" t="s">
        <v>15</v>
      </c>
      <c r="AK30" s="12" t="s">
        <v>145</v>
      </c>
      <c r="AL30" s="12" t="s">
        <v>186</v>
      </c>
      <c r="AM30" s="12" t="s">
        <v>147</v>
      </c>
      <c r="AN30" s="17" t="s">
        <v>184</v>
      </c>
      <c r="AO30" s="17" t="s">
        <v>187</v>
      </c>
      <c r="AP30" s="78"/>
    </row>
    <row r="31" spans="1:42" s="4" customFormat="1" ht="22" customHeight="1">
      <c r="A31" s="100" t="s">
        <v>57</v>
      </c>
      <c r="B31" s="174"/>
      <c r="C31" s="174"/>
      <c r="D31" s="80"/>
      <c r="E31" s="81"/>
      <c r="F31" s="82" t="str">
        <f>IF(OR(E31=0,E16=0,E18=0),"",IF(M31&lt;20,P31,IF(M31&lt;30,U31,IF(M31&lt;34,Y31,IF(M31&lt;37,AC31)))))</f>
        <v/>
      </c>
      <c r="G31" s="83" t="str">
        <f>IF(AND(E16=0,E18=0,E31=0),"",IF(OR(E16=0,E18=0,E31=0),"nedostaju datumi ili kategorija",IF(OR(E31=0,I31=0),"nisu upisani svi datumi!",IF(M31&lt;20,Q31,IF(M31&lt;30,V31,IF(M31&lt;34,Z31,IF(M31&lt;37,AD31)))))))</f>
        <v>nedostaju datumi ili kategorija</v>
      </c>
      <c r="H31" s="84" t="str">
        <f t="shared" si="0"/>
        <v/>
      </c>
      <c r="I31" s="85">
        <f t="shared" si="20"/>
        <v>43330</v>
      </c>
      <c r="J31" s="84">
        <f t="shared" si="1"/>
        <v>18</v>
      </c>
      <c r="K31" s="84">
        <f t="shared" si="2"/>
        <v>8</v>
      </c>
      <c r="L31" s="84">
        <f t="shared" si="3"/>
        <v>2018</v>
      </c>
      <c r="M31" s="4" t="str">
        <f t="shared" si="21"/>
        <v/>
      </c>
      <c r="N31" s="86">
        <f t="shared" si="4"/>
        <v>118</v>
      </c>
      <c r="O31" s="87">
        <f t="shared" si="22"/>
        <v>38718</v>
      </c>
      <c r="P31" s="88" t="str">
        <f t="shared" si="5"/>
        <v>prestar</v>
      </c>
      <c r="Q31" s="89" t="str">
        <f t="shared" si="6"/>
        <v>ne spada u ovu kategoriju!</v>
      </c>
      <c r="R31" s="88">
        <f t="shared" si="7"/>
        <v>0</v>
      </c>
      <c r="S31" s="86">
        <f t="shared" si="8"/>
        <v>118</v>
      </c>
      <c r="T31" s="90">
        <f t="shared" si="23"/>
        <v>37257</v>
      </c>
      <c r="U31" s="91" t="str">
        <f t="shared" si="9"/>
        <v>prestar</v>
      </c>
      <c r="V31" s="92" t="str">
        <f t="shared" si="10"/>
        <v>ne spada u ovu kategoriju!</v>
      </c>
      <c r="W31" s="91">
        <f t="shared" si="11"/>
        <v>0</v>
      </c>
      <c r="X31" s="93" t="str">
        <f t="shared" si="12"/>
        <v/>
      </c>
      <c r="Y31" s="94">
        <f t="shared" si="13"/>
        <v>65</v>
      </c>
      <c r="Z31" s="95" t="str">
        <f t="shared" si="14"/>
        <v>obračunava se 65 godina!</v>
      </c>
      <c r="AA31" s="96">
        <f t="shared" si="15"/>
        <v>0</v>
      </c>
      <c r="AB31" s="93" t="str">
        <f t="shared" si="16"/>
        <v/>
      </c>
      <c r="AC31" s="97">
        <f t="shared" si="17"/>
        <v>65</v>
      </c>
      <c r="AD31" s="98" t="e">
        <f t="shared" si="18"/>
        <v>#VALUE!</v>
      </c>
      <c r="AE31" s="99">
        <f t="shared" si="19"/>
        <v>0</v>
      </c>
      <c r="AG31" s="10" t="s">
        <v>188</v>
      </c>
      <c r="AH31" s="11">
        <v>1069</v>
      </c>
      <c r="AI31" s="12" t="s">
        <v>14</v>
      </c>
      <c r="AJ31" s="12" t="s">
        <v>21</v>
      </c>
      <c r="AK31" s="12" t="s">
        <v>16</v>
      </c>
      <c r="AL31" s="12" t="s">
        <v>189</v>
      </c>
      <c r="AM31" s="12" t="s">
        <v>18</v>
      </c>
      <c r="AN31" s="17" t="s">
        <v>187</v>
      </c>
      <c r="AO31" s="17" t="s">
        <v>190</v>
      </c>
      <c r="AP31" s="78"/>
    </row>
    <row r="32" spans="1:42" s="4" customFormat="1" ht="22" customHeight="1">
      <c r="A32" s="100" t="s">
        <v>63</v>
      </c>
      <c r="B32" s="174"/>
      <c r="C32" s="174"/>
      <c r="D32" s="80"/>
      <c r="E32" s="81"/>
      <c r="F32" s="82" t="str">
        <f>IF(OR(E32=0,E16=0,E18=0),"",IF(M32&lt;20,P32,IF(M32&lt;30,U32,IF(M32&lt;34,Y32,IF(M32&lt;37,AC32)))))</f>
        <v/>
      </c>
      <c r="G32" s="83" t="str">
        <f>IF(AND(E16=0,E18=0,E32=0),"",IF(OR(E16=0,E18=0,E32=0),"nedostaju datumi ili kategorija",IF(OR(E32=0,I32=0),"nisu upisani svi datumi!",IF(M32&lt;20,Q32,IF(M32&lt;30,V32,IF(M32&lt;34,Z32,IF(M32&lt;37,AD32)))))))</f>
        <v>nedostaju datumi ili kategorija</v>
      </c>
      <c r="H32" s="84" t="str">
        <f t="shared" si="0"/>
        <v/>
      </c>
      <c r="I32" s="85">
        <f t="shared" si="20"/>
        <v>43330</v>
      </c>
      <c r="J32" s="84">
        <f t="shared" si="1"/>
        <v>18</v>
      </c>
      <c r="K32" s="84">
        <f t="shared" si="2"/>
        <v>8</v>
      </c>
      <c r="L32" s="84">
        <f t="shared" si="3"/>
        <v>2018</v>
      </c>
      <c r="M32" s="4" t="str">
        <f t="shared" si="21"/>
        <v/>
      </c>
      <c r="N32" s="86">
        <f t="shared" si="4"/>
        <v>118</v>
      </c>
      <c r="O32" s="87">
        <f t="shared" si="22"/>
        <v>38718</v>
      </c>
      <c r="P32" s="88" t="str">
        <f t="shared" si="5"/>
        <v>prestar</v>
      </c>
      <c r="Q32" s="89" t="str">
        <f t="shared" si="6"/>
        <v>ne spada u ovu kategoriju!</v>
      </c>
      <c r="R32" s="88">
        <f t="shared" si="7"/>
        <v>0</v>
      </c>
      <c r="S32" s="86">
        <f t="shared" si="8"/>
        <v>118</v>
      </c>
      <c r="T32" s="90">
        <f t="shared" si="23"/>
        <v>37257</v>
      </c>
      <c r="U32" s="91" t="str">
        <f t="shared" si="9"/>
        <v>prestar</v>
      </c>
      <c r="V32" s="92" t="str">
        <f t="shared" si="10"/>
        <v>ne spada u ovu kategoriju!</v>
      </c>
      <c r="W32" s="91">
        <f t="shared" si="11"/>
        <v>0</v>
      </c>
      <c r="X32" s="93" t="str">
        <f t="shared" si="12"/>
        <v/>
      </c>
      <c r="Y32" s="94">
        <f t="shared" si="13"/>
        <v>65</v>
      </c>
      <c r="Z32" s="95" t="str">
        <f t="shared" si="14"/>
        <v>obračunava se 65 godina!</v>
      </c>
      <c r="AA32" s="96">
        <f t="shared" si="15"/>
        <v>0</v>
      </c>
      <c r="AB32" s="93" t="str">
        <f t="shared" si="16"/>
        <v/>
      </c>
      <c r="AC32" s="97">
        <f t="shared" si="17"/>
        <v>65</v>
      </c>
      <c r="AD32" s="98" t="e">
        <f t="shared" si="18"/>
        <v>#VALUE!</v>
      </c>
      <c r="AE32" s="99">
        <f t="shared" si="19"/>
        <v>0</v>
      </c>
      <c r="AG32" s="10" t="s">
        <v>191</v>
      </c>
      <c r="AH32" s="11">
        <v>1075</v>
      </c>
      <c r="AI32" s="12" t="s">
        <v>14</v>
      </c>
      <c r="AJ32" s="12" t="s">
        <v>15</v>
      </c>
      <c r="AK32" s="12" t="s">
        <v>16</v>
      </c>
      <c r="AL32" s="12" t="s">
        <v>192</v>
      </c>
      <c r="AM32" s="12" t="s">
        <v>18</v>
      </c>
      <c r="AN32" s="17" t="s">
        <v>190</v>
      </c>
      <c r="AO32" s="101" t="s">
        <v>193</v>
      </c>
      <c r="AP32" s="78"/>
    </row>
    <row r="33" spans="1:42" s="4" customFormat="1" ht="22" customHeight="1">
      <c r="A33" s="100" t="s">
        <v>70</v>
      </c>
      <c r="B33" s="174"/>
      <c r="C33" s="174"/>
      <c r="D33" s="80"/>
      <c r="E33" s="81"/>
      <c r="F33" s="82" t="str">
        <f>IF(OR(E33=0,E16=0,E18=0),"",IF(M33&lt;20,P33,IF(M33&lt;30,U33,IF(M33&lt;34,Y33,IF(M33&lt;37,AC33)))))</f>
        <v/>
      </c>
      <c r="G33" s="83" t="str">
        <f>IF(AND(E16=0,E18=0,E33=0),"",IF(OR(E16=0,E18=0,E33=0),"nedostaju datumi ili kategorija",IF(OR(E33=0,I33=0),"nisu upisani svi datumi!",IF(M33&lt;20,Q33,IF(M33&lt;30,V33,IF(M33&lt;34,Z33,IF(M33&lt;37,AD33)))))))</f>
        <v>nedostaju datumi ili kategorija</v>
      </c>
      <c r="H33" s="84" t="str">
        <f t="shared" si="0"/>
        <v/>
      </c>
      <c r="I33" s="85">
        <f t="shared" si="20"/>
        <v>43330</v>
      </c>
      <c r="J33" s="84">
        <f t="shared" si="1"/>
        <v>18</v>
      </c>
      <c r="K33" s="84">
        <f t="shared" si="2"/>
        <v>8</v>
      </c>
      <c r="L33" s="84">
        <f t="shared" si="3"/>
        <v>2018</v>
      </c>
      <c r="M33" s="4" t="str">
        <f t="shared" si="21"/>
        <v/>
      </c>
      <c r="N33" s="86">
        <f t="shared" si="4"/>
        <v>118</v>
      </c>
      <c r="O33" s="87">
        <f t="shared" si="22"/>
        <v>38718</v>
      </c>
      <c r="P33" s="88" t="str">
        <f t="shared" si="5"/>
        <v>prestar</v>
      </c>
      <c r="Q33" s="89" t="str">
        <f t="shared" si="6"/>
        <v>ne spada u ovu kategoriju!</v>
      </c>
      <c r="R33" s="88">
        <f t="shared" si="7"/>
        <v>0</v>
      </c>
      <c r="S33" s="86">
        <f t="shared" si="8"/>
        <v>118</v>
      </c>
      <c r="T33" s="90">
        <f t="shared" si="23"/>
        <v>37257</v>
      </c>
      <c r="U33" s="91" t="str">
        <f t="shared" si="9"/>
        <v>prestar</v>
      </c>
      <c r="V33" s="92" t="str">
        <f t="shared" si="10"/>
        <v>ne spada u ovu kategoriju!</v>
      </c>
      <c r="W33" s="91">
        <f t="shared" si="11"/>
        <v>0</v>
      </c>
      <c r="X33" s="93" t="str">
        <f t="shared" si="12"/>
        <v/>
      </c>
      <c r="Y33" s="94">
        <f t="shared" si="13"/>
        <v>65</v>
      </c>
      <c r="Z33" s="95" t="s">
        <v>194</v>
      </c>
      <c r="AA33" s="102">
        <f t="shared" si="15"/>
        <v>0</v>
      </c>
      <c r="AB33" s="93" t="str">
        <f t="shared" si="16"/>
        <v/>
      </c>
      <c r="AC33" s="97">
        <f t="shared" si="17"/>
        <v>65</v>
      </c>
      <c r="AD33" s="98" t="s">
        <v>194</v>
      </c>
      <c r="AE33" s="103">
        <f t="shared" si="19"/>
        <v>0</v>
      </c>
      <c r="AG33" s="10" t="s">
        <v>195</v>
      </c>
      <c r="AH33" s="11">
        <v>3067</v>
      </c>
      <c r="AI33" s="12" t="s">
        <v>14</v>
      </c>
      <c r="AJ33" s="12" t="s">
        <v>196</v>
      </c>
      <c r="AK33" s="12" t="s">
        <v>197</v>
      </c>
      <c r="AL33" s="12" t="s">
        <v>198</v>
      </c>
      <c r="AM33" s="12" t="s">
        <v>199</v>
      </c>
      <c r="AN33" s="17" t="s">
        <v>200</v>
      </c>
      <c r="AO33" s="101" t="s">
        <v>201</v>
      </c>
      <c r="AP33" s="78"/>
    </row>
    <row r="34" spans="1:42" s="4" customFormat="1" ht="22" customHeight="1" thickBot="1">
      <c r="A34" s="104" t="s">
        <v>78</v>
      </c>
      <c r="B34" s="174"/>
      <c r="C34" s="174"/>
      <c r="D34" s="80"/>
      <c r="E34" s="81"/>
      <c r="F34" s="105" t="s">
        <v>202</v>
      </c>
      <c r="G34" s="83" t="str">
        <f>IF(AND(E16=0,E18=0,E34=0),"",IF(OR(E16=0,E18=0,E34=0),"nedostaju datumi ili kategorija",IF(OR(E34=0,I34=0),"nisu upisani svi datumi!",IF(M34&lt;20,Q34,IF(M34&lt;30,V34,IF(M34&lt;34,Z34,IF(M34&lt;37,AD34)))))))</f>
        <v>nedostaju datumi ili kategorija</v>
      </c>
      <c r="H34" s="84" t="str">
        <f t="shared" si="0"/>
        <v/>
      </c>
      <c r="I34" s="85">
        <f t="shared" si="20"/>
        <v>43330</v>
      </c>
      <c r="J34" s="84">
        <f t="shared" si="1"/>
        <v>18</v>
      </c>
      <c r="K34" s="84">
        <f t="shared" si="2"/>
        <v>8</v>
      </c>
      <c r="L34" s="84">
        <f t="shared" si="3"/>
        <v>2018</v>
      </c>
      <c r="M34" s="4" t="str">
        <f t="shared" si="21"/>
        <v/>
      </c>
      <c r="N34" s="86">
        <f t="shared" si="4"/>
        <v>118</v>
      </c>
      <c r="O34" s="87">
        <f t="shared" si="22"/>
        <v>38718</v>
      </c>
      <c r="P34" s="106" t="str">
        <f t="shared" si="5"/>
        <v>prestar</v>
      </c>
      <c r="Q34" s="89" t="str">
        <f t="shared" si="6"/>
        <v>ne spada u ovu kategoriju!</v>
      </c>
      <c r="R34" s="107">
        <f t="shared" si="7"/>
        <v>0</v>
      </c>
      <c r="S34" s="86">
        <f t="shared" si="8"/>
        <v>118</v>
      </c>
      <c r="T34" s="90">
        <f t="shared" si="23"/>
        <v>37257</v>
      </c>
      <c r="U34" s="106" t="str">
        <f t="shared" si="9"/>
        <v>prestar</v>
      </c>
      <c r="V34" s="92" t="str">
        <f t="shared" si="10"/>
        <v>ne spada u ovu kategoriju!</v>
      </c>
      <c r="W34" s="107">
        <f t="shared" si="11"/>
        <v>0</v>
      </c>
      <c r="X34" s="93" t="str">
        <f t="shared" si="12"/>
        <v/>
      </c>
      <c r="Y34" s="94">
        <f t="shared" si="13"/>
        <v>65</v>
      </c>
      <c r="Z34" s="95" t="s">
        <v>194</v>
      </c>
      <c r="AA34" s="102">
        <f t="shared" si="15"/>
        <v>0</v>
      </c>
      <c r="AB34" s="93" t="str">
        <f t="shared" si="16"/>
        <v/>
      </c>
      <c r="AC34" s="97">
        <f t="shared" si="17"/>
        <v>65</v>
      </c>
      <c r="AD34" s="98" t="s">
        <v>194</v>
      </c>
      <c r="AE34" s="103">
        <f t="shared" si="19"/>
        <v>0</v>
      </c>
      <c r="AG34" s="10" t="s">
        <v>203</v>
      </c>
      <c r="AH34" s="11">
        <v>1061</v>
      </c>
      <c r="AI34" s="12" t="s">
        <v>14</v>
      </c>
      <c r="AJ34" s="12" t="s">
        <v>15</v>
      </c>
      <c r="AK34" s="12" t="s">
        <v>22</v>
      </c>
      <c r="AL34" s="12" t="s">
        <v>204</v>
      </c>
      <c r="AM34" s="12" t="s">
        <v>24</v>
      </c>
      <c r="AN34" s="101" t="s">
        <v>193</v>
      </c>
      <c r="AO34" s="14" t="s">
        <v>205</v>
      </c>
    </row>
    <row r="35" spans="1:42" s="111" customFormat="1" ht="22" customHeight="1" thickTop="1" thickBot="1">
      <c r="A35" s="188" t="str">
        <f>IF(E18&gt;30,"NAPOMENA: Pod red.br.9 upisti natjecatelja koji ne trči štafetu!","")</f>
        <v/>
      </c>
      <c r="B35" s="189"/>
      <c r="C35" s="192" t="str">
        <f>IF(OR(E16=0,E18=0),"UKUPNE GODINE",IF(E18&gt;30, "UKUPNE GODINE (od 1. do 8.)","UKUPNE GODINE (od 1. do 9.)"))</f>
        <v>UKUPNE GODINE</v>
      </c>
      <c r="D35" s="193"/>
      <c r="E35" s="194"/>
      <c r="F35" s="108" t="str">
        <f>IF(COUNT(E25:E33)&lt;9,"",IF(OR(E18=0,E16=0,E18=31,E18=32,E18=33),"-",IF(M35&lt;20,P35,IF(M35&lt;30,U35,IF(M35&lt;34,Y35,IF(M35&lt;37,AC35))))))</f>
        <v/>
      </c>
      <c r="G35" s="109" t="str">
        <f>IF(M35&lt;20,Q35,IF(M35&lt;30,V35,IF(M35&lt;34,Z35,IF(M35&lt;37,AD35,""))))</f>
        <v/>
      </c>
      <c r="H35" s="85"/>
      <c r="I35" s="85">
        <f t="shared" si="20"/>
        <v>43330</v>
      </c>
      <c r="J35" s="84">
        <f t="shared" si="1"/>
        <v>18</v>
      </c>
      <c r="K35" s="84">
        <f t="shared" si="2"/>
        <v>8</v>
      </c>
      <c r="L35" s="84">
        <f t="shared" si="3"/>
        <v>2018</v>
      </c>
      <c r="M35" s="4" t="str">
        <f t="shared" si="21"/>
        <v/>
      </c>
      <c r="N35" s="110">
        <f>MAX(N25:N34)</f>
        <v>118</v>
      </c>
      <c r="P35" s="112" t="str">
        <f>IF(R35=0,"",SUM(P25:P33))</f>
        <v/>
      </c>
      <c r="Q35" s="113" t="str">
        <f>IF(R35=0,"odjeljenje nije kompletno!","")</f>
        <v>odjeljenje nije kompletno!</v>
      </c>
      <c r="R35" s="114">
        <f>MIN(R25:R33)</f>
        <v>0</v>
      </c>
      <c r="S35" s="115">
        <f>MAX(S25:S34)</f>
        <v>118</v>
      </c>
      <c r="T35" s="116"/>
      <c r="U35" s="117" t="str">
        <f>IF(W35=0,"",SUM(U25:U33))</f>
        <v/>
      </c>
      <c r="V35" s="118" t="str">
        <f>IF(W35=0,"odjeljenje nije kompletno!","")</f>
        <v>odjeljenje nije kompletno!</v>
      </c>
      <c r="W35" s="119">
        <f>MIN(W25:W33)</f>
        <v>0</v>
      </c>
      <c r="X35" s="120">
        <f>MIN(X25:X34)</f>
        <v>0</v>
      </c>
      <c r="Y35" s="121" t="str">
        <f>IF(X35&lt;16,"",SUM(Y25:Y32))</f>
        <v/>
      </c>
      <c r="Z35" s="122" t="str">
        <f>IF(AA35=0,"odjeljenje nije kompletno!","")</f>
        <v>odjeljenje nije kompletno!</v>
      </c>
      <c r="AA35" s="123">
        <f>MIN(AA25:AA33)</f>
        <v>0</v>
      </c>
      <c r="AB35" s="124">
        <f>MIN(AB25:AB34)</f>
        <v>0</v>
      </c>
      <c r="AC35" s="121" t="str">
        <f>IF(AB35&lt;30,"",SUM(AC25:AC32))</f>
        <v/>
      </c>
      <c r="AD35" s="125" t="str">
        <f>IF(AE35=0,"odjeljenje nije kompletno!","")</f>
        <v>odjeljenje nije kompletno!</v>
      </c>
      <c r="AE35" s="126">
        <f>MIN(AE25:AE33)</f>
        <v>0</v>
      </c>
      <c r="AG35" s="10" t="s">
        <v>206</v>
      </c>
      <c r="AH35" s="11">
        <v>1092</v>
      </c>
      <c r="AI35" s="12" t="s">
        <v>14</v>
      </c>
      <c r="AJ35" s="12" t="s">
        <v>21</v>
      </c>
      <c r="AK35" s="12" t="s">
        <v>207</v>
      </c>
      <c r="AL35" s="12" t="s">
        <v>208</v>
      </c>
      <c r="AM35" s="12" t="s">
        <v>209</v>
      </c>
      <c r="AN35" s="101" t="s">
        <v>201</v>
      </c>
      <c r="AO35" s="14" t="s">
        <v>210</v>
      </c>
    </row>
    <row r="36" spans="1:42" s="111" customFormat="1" ht="22" customHeight="1" thickTop="1" thickBot="1">
      <c r="A36" s="190"/>
      <c r="B36" s="191"/>
      <c r="C36" s="192" t="str">
        <f>IF(E18=0,"",IF(E18&lt;20,"",IF(M36&lt;34,"POČETNI BODOVI",IF(M36&lt;37,"POČETNI + DODATNI BODOVI"))))</f>
        <v/>
      </c>
      <c r="D36" s="193"/>
      <c r="E36" s="194"/>
      <c r="F36" s="127" t="str">
        <f>IF(F35="","",IF(AND(E18&gt;30,E18&lt;34),500,IF(SUM(F25:F33)&lt;=0,"",IF(M35&lt;20,O36,IF(M35&lt;30,U36,IF(M35&lt;34,Y36,IF(AND(E18&lt;37,F35&gt;=240,AB35&gt;=30,AC35&lt;520),SUM(500+AC36),IF(AC35=520,535,""))))))))</f>
        <v/>
      </c>
      <c r="G36" s="128"/>
      <c r="H36" s="85"/>
      <c r="I36" s="85">
        <f t="shared" si="20"/>
        <v>43330</v>
      </c>
      <c r="J36" s="84">
        <f t="shared" si="1"/>
        <v>18</v>
      </c>
      <c r="K36" s="84">
        <f t="shared" si="2"/>
        <v>8</v>
      </c>
      <c r="L36" s="84">
        <f t="shared" si="3"/>
        <v>2018</v>
      </c>
      <c r="M36" s="4" t="str">
        <f t="shared" si="21"/>
        <v/>
      </c>
      <c r="O36" s="129" t="str">
        <f>IF(AND(P35&gt;=54,P35&lt;63),500,IF(P35&lt;72,498,IF(P35&lt;81,496,IF(P35&lt;90,494,IF(P35&lt;99,492,IF(P35&lt;=108,490,""))))))</f>
        <v/>
      </c>
      <c r="P36" s="128" t="str">
        <f>P35</f>
        <v/>
      </c>
      <c r="Q36" s="129" t="str">
        <f>IF(AND(P36&gt;=54,P36&lt;63),500,IF(P36&lt;72,499,IF(P36&lt;81,498,IF(P36&lt;90,497,IF(P36&lt;99,496,IF(P36&lt;=108,495,""))))))</f>
        <v/>
      </c>
      <c r="R36" s="130"/>
      <c r="U36" s="131" t="str">
        <f>IF(W35=0,"",1000)</f>
        <v/>
      </c>
      <c r="Y36" s="132" t="str">
        <f>IF(AA35=0,"",500)</f>
        <v/>
      </c>
      <c r="AC36" s="133" t="e">
        <f>IF(AC35&gt;=240,ROUNDUP(SUM((AC35-240+1)/8),0),"500!")</f>
        <v>#VALUE!</v>
      </c>
      <c r="AG36" s="10" t="s">
        <v>211</v>
      </c>
      <c r="AH36" s="11">
        <v>1079</v>
      </c>
      <c r="AI36" s="12" t="s">
        <v>14</v>
      </c>
      <c r="AJ36" s="12" t="s">
        <v>21</v>
      </c>
      <c r="AK36" s="12" t="s">
        <v>28</v>
      </c>
      <c r="AL36" s="12" t="s">
        <v>212</v>
      </c>
      <c r="AM36" s="12" t="s">
        <v>128</v>
      </c>
      <c r="AN36" s="14" t="s">
        <v>205</v>
      </c>
      <c r="AO36" s="14" t="s">
        <v>213</v>
      </c>
    </row>
    <row r="37" spans="1:42" ht="12.75" customHeight="1" thickTop="1">
      <c r="O37" s="4" t="s">
        <v>214</v>
      </c>
      <c r="P37" s="111" t="s">
        <v>215</v>
      </c>
      <c r="Q37" s="4" t="s">
        <v>216</v>
      </c>
      <c r="X37" s="111"/>
      <c r="Y37" s="111"/>
      <c r="Z37" s="111"/>
      <c r="AA37" s="111"/>
      <c r="AB37" s="111"/>
      <c r="AC37" s="111"/>
      <c r="AD37" s="111"/>
      <c r="AE37" s="111"/>
      <c r="AG37" s="10" t="s">
        <v>217</v>
      </c>
      <c r="AH37" s="11">
        <v>1114</v>
      </c>
      <c r="AI37" s="12" t="s">
        <v>14</v>
      </c>
      <c r="AJ37" s="12" t="s">
        <v>15</v>
      </c>
      <c r="AK37" s="12" t="s">
        <v>50</v>
      </c>
      <c r="AL37" s="12" t="s">
        <v>218</v>
      </c>
      <c r="AM37" s="12" t="s">
        <v>52</v>
      </c>
      <c r="AN37" s="14" t="s">
        <v>210</v>
      </c>
      <c r="AO37" s="14" t="s">
        <v>219</v>
      </c>
    </row>
    <row r="38" spans="1:42" s="135" customFormat="1" ht="20" customHeight="1">
      <c r="A38" s="134" t="s">
        <v>220</v>
      </c>
      <c r="B38" s="195">
        <f>IF(C10=0,"",LOOKUP(C10,AL2:AL76,AN2:AN76))</f>
        <v>0</v>
      </c>
      <c r="C38" s="195"/>
      <c r="D38" s="134" t="s">
        <v>104</v>
      </c>
      <c r="E38" s="196">
        <f ca="1">IF(E16=0,"",TODAY())</f>
        <v>43300</v>
      </c>
      <c r="F38" s="196"/>
      <c r="N38" s="16"/>
      <c r="O38" s="16"/>
      <c r="P38" s="111"/>
      <c r="Q38" s="16"/>
      <c r="R38" s="16"/>
      <c r="S38" s="16"/>
      <c r="T38" s="16"/>
      <c r="U38" s="16"/>
      <c r="V38" s="16"/>
      <c r="W38" s="16"/>
      <c r="X38" s="111"/>
      <c r="Y38" s="111"/>
      <c r="Z38" s="111"/>
      <c r="AA38" s="111"/>
      <c r="AB38" s="111"/>
      <c r="AC38" s="128">
        <v>520</v>
      </c>
      <c r="AD38" s="111"/>
      <c r="AE38" s="111"/>
      <c r="AG38" s="10" t="s">
        <v>221</v>
      </c>
      <c r="AH38" s="11">
        <v>1106</v>
      </c>
      <c r="AI38" s="12" t="s">
        <v>14</v>
      </c>
      <c r="AJ38" s="12" t="s">
        <v>15</v>
      </c>
      <c r="AK38" s="12" t="s">
        <v>222</v>
      </c>
      <c r="AL38" s="12" t="s">
        <v>223</v>
      </c>
      <c r="AM38" s="12" t="s">
        <v>224</v>
      </c>
      <c r="AN38" s="14" t="s">
        <v>213</v>
      </c>
      <c r="AO38" s="14" t="s">
        <v>225</v>
      </c>
    </row>
    <row r="39" spans="1:42" s="135" customFormat="1" ht="12.75" customHeight="1">
      <c r="A39" s="21"/>
      <c r="B39" s="21"/>
      <c r="C39" s="21"/>
      <c r="D39" s="21"/>
      <c r="E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11"/>
      <c r="Y39" s="111"/>
      <c r="Z39" s="111"/>
      <c r="AA39" s="111"/>
      <c r="AB39" s="111"/>
      <c r="AC39" s="128">
        <f>IF(AC38=520,535,"")</f>
        <v>535</v>
      </c>
      <c r="AD39" s="111"/>
      <c r="AE39" s="111"/>
      <c r="AG39" s="10" t="s">
        <v>226</v>
      </c>
      <c r="AH39" s="11">
        <v>1108</v>
      </c>
      <c r="AI39" s="12" t="s">
        <v>14</v>
      </c>
      <c r="AJ39" s="12" t="s">
        <v>21</v>
      </c>
      <c r="AK39" s="12" t="s">
        <v>71</v>
      </c>
      <c r="AL39" s="12" t="s">
        <v>227</v>
      </c>
      <c r="AM39" s="12" t="s">
        <v>174</v>
      </c>
      <c r="AN39" s="14" t="s">
        <v>228</v>
      </c>
      <c r="AO39" s="14" t="s">
        <v>228</v>
      </c>
    </row>
    <row r="40" spans="1:42" s="135" customFormat="1" ht="20" customHeight="1">
      <c r="A40" s="136" t="s">
        <v>229</v>
      </c>
      <c r="C40" s="137" t="s">
        <v>230</v>
      </c>
      <c r="D40" s="21"/>
      <c r="E40" s="136" t="s">
        <v>230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11"/>
      <c r="Y40" s="111"/>
      <c r="Z40" s="111"/>
      <c r="AA40" s="111"/>
      <c r="AB40" s="111"/>
      <c r="AC40" s="111"/>
      <c r="AD40" s="111"/>
      <c r="AE40" s="111"/>
      <c r="AG40" s="10" t="s">
        <v>231</v>
      </c>
      <c r="AH40" s="11">
        <v>3068</v>
      </c>
      <c r="AI40" s="12" t="s">
        <v>14</v>
      </c>
      <c r="AJ40" s="12" t="s">
        <v>15</v>
      </c>
      <c r="AK40" s="12" t="s">
        <v>197</v>
      </c>
      <c r="AL40" s="12" t="s">
        <v>232</v>
      </c>
      <c r="AM40" s="12" t="s">
        <v>199</v>
      </c>
      <c r="AN40" s="14" t="s">
        <v>219</v>
      </c>
      <c r="AO40" s="14" t="s">
        <v>233</v>
      </c>
    </row>
    <row r="41" spans="1:42" s="135" customFormat="1" ht="20" customHeight="1">
      <c r="B41" s="185" t="s">
        <v>234</v>
      </c>
      <c r="C41" s="185"/>
      <c r="E41" s="185" t="s">
        <v>235</v>
      </c>
      <c r="F41" s="185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11"/>
      <c r="Y41" s="111"/>
      <c r="Z41" s="111"/>
      <c r="AA41" s="111"/>
      <c r="AB41" s="111"/>
      <c r="AC41" s="111"/>
      <c r="AD41" s="111"/>
      <c r="AE41" s="111"/>
      <c r="AG41" s="10" t="s">
        <v>236</v>
      </c>
      <c r="AH41" s="11">
        <v>1100</v>
      </c>
      <c r="AI41" s="12" t="s">
        <v>14</v>
      </c>
      <c r="AJ41" s="12" t="s">
        <v>21</v>
      </c>
      <c r="AK41" s="12" t="s">
        <v>35</v>
      </c>
      <c r="AL41" s="12" t="s">
        <v>237</v>
      </c>
      <c r="AM41" s="12" t="s">
        <v>37</v>
      </c>
      <c r="AN41" s="14" t="s">
        <v>225</v>
      </c>
      <c r="AO41" s="14" t="s">
        <v>238</v>
      </c>
    </row>
    <row r="42" spans="1:42" s="135" customFormat="1" ht="20" customHeight="1">
      <c r="B42" s="186"/>
      <c r="C42" s="18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11"/>
      <c r="Y42" s="111"/>
      <c r="Z42" s="111"/>
      <c r="AA42" s="111"/>
      <c r="AB42" s="111"/>
      <c r="AC42" s="111"/>
      <c r="AD42" s="111"/>
      <c r="AE42" s="111"/>
      <c r="AG42" s="10" t="s">
        <v>239</v>
      </c>
      <c r="AH42" s="11">
        <v>4241</v>
      </c>
      <c r="AI42" s="12" t="s">
        <v>14</v>
      </c>
      <c r="AJ42" s="12" t="s">
        <v>196</v>
      </c>
      <c r="AK42" s="12" t="s">
        <v>71</v>
      </c>
      <c r="AL42" s="12" t="s">
        <v>240</v>
      </c>
      <c r="AM42" s="12" t="s">
        <v>73</v>
      </c>
      <c r="AN42" s="14" t="s">
        <v>233</v>
      </c>
      <c r="AO42" s="14" t="s">
        <v>241</v>
      </c>
    </row>
    <row r="43" spans="1:42" s="135" customFormat="1" ht="20" customHeight="1">
      <c r="E43" s="187"/>
      <c r="F43" s="187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11"/>
      <c r="Y43" s="111"/>
      <c r="Z43" s="111"/>
      <c r="AA43" s="111"/>
      <c r="AB43" s="111"/>
      <c r="AC43" s="111"/>
      <c r="AD43" s="111"/>
      <c r="AE43" s="111"/>
      <c r="AG43" s="10" t="s">
        <v>242</v>
      </c>
      <c r="AH43" s="11">
        <v>1113</v>
      </c>
      <c r="AI43" s="12" t="s">
        <v>14</v>
      </c>
      <c r="AJ43" s="12" t="s">
        <v>15</v>
      </c>
      <c r="AK43" s="12" t="s">
        <v>28</v>
      </c>
      <c r="AL43" s="12" t="s">
        <v>243</v>
      </c>
      <c r="AM43" s="12" t="s">
        <v>30</v>
      </c>
      <c r="AN43" s="14" t="s">
        <v>244</v>
      </c>
      <c r="AO43" s="14" t="s">
        <v>244</v>
      </c>
    </row>
    <row r="44" spans="1:42">
      <c r="AG44" s="10" t="s">
        <v>245</v>
      </c>
      <c r="AH44" s="11">
        <v>1112</v>
      </c>
      <c r="AI44" s="12" t="s">
        <v>14</v>
      </c>
      <c r="AJ44" s="12" t="s">
        <v>21</v>
      </c>
      <c r="AK44" s="12" t="s">
        <v>71</v>
      </c>
      <c r="AL44" s="12" t="s">
        <v>246</v>
      </c>
      <c r="AM44" s="12" t="s">
        <v>174</v>
      </c>
      <c r="AN44" s="14" t="s">
        <v>247</v>
      </c>
      <c r="AO44" s="14" t="s">
        <v>248</v>
      </c>
    </row>
    <row r="45" spans="1:42">
      <c r="AG45" s="10" t="s">
        <v>249</v>
      </c>
      <c r="AH45" s="11">
        <v>1062</v>
      </c>
      <c r="AI45" s="12" t="s">
        <v>14</v>
      </c>
      <c r="AJ45" s="12" t="s">
        <v>15</v>
      </c>
      <c r="AK45" s="12" t="s">
        <v>22</v>
      </c>
      <c r="AL45" s="12" t="s">
        <v>250</v>
      </c>
      <c r="AM45" s="12" t="s">
        <v>24</v>
      </c>
      <c r="AN45" s="14" t="s">
        <v>251</v>
      </c>
      <c r="AO45" s="14" t="s">
        <v>247</v>
      </c>
    </row>
    <row r="46" spans="1:42">
      <c r="AG46" s="10" t="s">
        <v>252</v>
      </c>
      <c r="AH46" s="11">
        <v>1057</v>
      </c>
      <c r="AI46" s="12" t="s">
        <v>14</v>
      </c>
      <c r="AJ46" s="12" t="s">
        <v>15</v>
      </c>
      <c r="AK46" s="12" t="s">
        <v>197</v>
      </c>
      <c r="AL46" s="12" t="s">
        <v>253</v>
      </c>
      <c r="AM46" s="12" t="s">
        <v>199</v>
      </c>
      <c r="AN46" s="14" t="s">
        <v>254</v>
      </c>
      <c r="AO46" s="14" t="s">
        <v>255</v>
      </c>
    </row>
    <row r="47" spans="1:42">
      <c r="AG47" s="10" t="s">
        <v>256</v>
      </c>
      <c r="AH47" s="11">
        <v>1089</v>
      </c>
      <c r="AI47" s="12" t="s">
        <v>14</v>
      </c>
      <c r="AJ47" s="12" t="s">
        <v>21</v>
      </c>
      <c r="AK47" s="12" t="s">
        <v>91</v>
      </c>
      <c r="AL47" s="12" t="s">
        <v>257</v>
      </c>
      <c r="AM47" s="12" t="s">
        <v>93</v>
      </c>
      <c r="AN47" s="14" t="s">
        <v>258</v>
      </c>
      <c r="AO47" s="14" t="s">
        <v>251</v>
      </c>
    </row>
    <row r="48" spans="1:42">
      <c r="AG48" s="10" t="s">
        <v>259</v>
      </c>
      <c r="AH48" s="11">
        <v>1088</v>
      </c>
      <c r="AI48" s="12" t="s">
        <v>14</v>
      </c>
      <c r="AJ48" s="12" t="s">
        <v>21</v>
      </c>
      <c r="AK48" s="12" t="s">
        <v>91</v>
      </c>
      <c r="AL48" s="12" t="s">
        <v>260</v>
      </c>
      <c r="AM48" s="12" t="s">
        <v>93</v>
      </c>
      <c r="AN48" s="14" t="s">
        <v>261</v>
      </c>
      <c r="AO48" s="14" t="s">
        <v>254</v>
      </c>
    </row>
    <row r="49" spans="33:41">
      <c r="AG49" s="10" t="s">
        <v>262</v>
      </c>
      <c r="AH49" s="11">
        <v>1105</v>
      </c>
      <c r="AI49" s="12" t="s">
        <v>14</v>
      </c>
      <c r="AJ49" s="12" t="s">
        <v>90</v>
      </c>
      <c r="AK49" s="12" t="s">
        <v>222</v>
      </c>
      <c r="AL49" s="12" t="s">
        <v>263</v>
      </c>
      <c r="AM49" s="12" t="s">
        <v>224</v>
      </c>
      <c r="AN49" s="14" t="s">
        <v>264</v>
      </c>
      <c r="AO49" s="14" t="s">
        <v>258</v>
      </c>
    </row>
    <row r="50" spans="33:41">
      <c r="AG50" s="10" t="s">
        <v>265</v>
      </c>
      <c r="AH50" s="11">
        <v>1091</v>
      </c>
      <c r="AI50" s="12" t="s">
        <v>14</v>
      </c>
      <c r="AJ50" s="12" t="s">
        <v>15</v>
      </c>
      <c r="AK50" s="12" t="s">
        <v>207</v>
      </c>
      <c r="AL50" s="12" t="s">
        <v>266</v>
      </c>
      <c r="AM50" s="12" t="s">
        <v>209</v>
      </c>
      <c r="AN50" s="14" t="s">
        <v>267</v>
      </c>
      <c r="AO50" s="14" t="s">
        <v>261</v>
      </c>
    </row>
    <row r="51" spans="33:41">
      <c r="AG51" s="10" t="s">
        <v>268</v>
      </c>
      <c r="AH51" s="11">
        <v>1073</v>
      </c>
      <c r="AI51" s="12" t="s">
        <v>14</v>
      </c>
      <c r="AJ51" s="12" t="s">
        <v>90</v>
      </c>
      <c r="AK51" s="12" t="s">
        <v>43</v>
      </c>
      <c r="AL51" s="12" t="s">
        <v>269</v>
      </c>
      <c r="AM51" s="12" t="s">
        <v>45</v>
      </c>
      <c r="AN51" s="14" t="s">
        <v>255</v>
      </c>
      <c r="AO51" s="14" t="s">
        <v>264</v>
      </c>
    </row>
    <row r="52" spans="33:41">
      <c r="AG52" s="10" t="s">
        <v>270</v>
      </c>
      <c r="AH52" s="11">
        <v>1094</v>
      </c>
      <c r="AI52" s="12" t="s">
        <v>14</v>
      </c>
      <c r="AJ52" s="12" t="s">
        <v>15</v>
      </c>
      <c r="AK52" s="12" t="s">
        <v>35</v>
      </c>
      <c r="AL52" s="12" t="s">
        <v>271</v>
      </c>
      <c r="AM52" s="12" t="s">
        <v>37</v>
      </c>
      <c r="AN52" s="14" t="s">
        <v>272</v>
      </c>
      <c r="AO52" s="14" t="s">
        <v>267</v>
      </c>
    </row>
    <row r="53" spans="33:41">
      <c r="AG53" s="10" t="s">
        <v>273</v>
      </c>
      <c r="AH53" s="11">
        <v>3069</v>
      </c>
      <c r="AI53" s="12" t="s">
        <v>14</v>
      </c>
      <c r="AJ53" s="12" t="s">
        <v>15</v>
      </c>
      <c r="AK53" s="12" t="s">
        <v>197</v>
      </c>
      <c r="AL53" s="12" t="s">
        <v>274</v>
      </c>
      <c r="AM53" s="12" t="s">
        <v>199</v>
      </c>
      <c r="AN53" s="14" t="s">
        <v>241</v>
      </c>
      <c r="AO53" s="14" t="s">
        <v>121</v>
      </c>
    </row>
    <row r="54" spans="33:41">
      <c r="AG54" s="10" t="s">
        <v>275</v>
      </c>
      <c r="AH54" s="11">
        <v>1081</v>
      </c>
      <c r="AI54" s="12" t="s">
        <v>14</v>
      </c>
      <c r="AJ54" s="12" t="s">
        <v>15</v>
      </c>
      <c r="AK54" s="12" t="s">
        <v>50</v>
      </c>
      <c r="AL54" s="12" t="s">
        <v>276</v>
      </c>
      <c r="AM54" s="12" t="s">
        <v>65</v>
      </c>
      <c r="AN54" s="14" t="s">
        <v>277</v>
      </c>
      <c r="AO54" s="14" t="s">
        <v>272</v>
      </c>
    </row>
    <row r="55" spans="33:41">
      <c r="AG55" s="10" t="s">
        <v>278</v>
      </c>
      <c r="AH55" s="11">
        <v>2235</v>
      </c>
      <c r="AI55" s="12" t="s">
        <v>14</v>
      </c>
      <c r="AJ55" s="12" t="s">
        <v>21</v>
      </c>
      <c r="AK55" s="12" t="s">
        <v>207</v>
      </c>
      <c r="AL55" s="12" t="s">
        <v>279</v>
      </c>
      <c r="AM55" s="12" t="s">
        <v>209</v>
      </c>
      <c r="AN55" s="14" t="s">
        <v>280</v>
      </c>
      <c r="AO55" s="14" t="s">
        <v>277</v>
      </c>
    </row>
    <row r="56" spans="33:41">
      <c r="AG56" s="10" t="s">
        <v>281</v>
      </c>
      <c r="AH56" s="11">
        <v>2234</v>
      </c>
      <c r="AI56" s="12" t="s">
        <v>14</v>
      </c>
      <c r="AJ56" s="12" t="s">
        <v>21</v>
      </c>
      <c r="AK56" s="12" t="s">
        <v>207</v>
      </c>
      <c r="AL56" s="12" t="s">
        <v>282</v>
      </c>
      <c r="AM56" s="12" t="s">
        <v>209</v>
      </c>
      <c r="AN56" s="14" t="s">
        <v>283</v>
      </c>
      <c r="AO56" s="14" t="s">
        <v>280</v>
      </c>
    </row>
    <row r="57" spans="33:41">
      <c r="AG57" s="10" t="s">
        <v>284</v>
      </c>
      <c r="AH57" s="11">
        <v>1115</v>
      </c>
      <c r="AI57" s="12" t="s">
        <v>14</v>
      </c>
      <c r="AJ57" s="12" t="s">
        <v>21</v>
      </c>
      <c r="AK57" s="12" t="s">
        <v>28</v>
      </c>
      <c r="AL57" s="12" t="s">
        <v>285</v>
      </c>
      <c r="AM57" s="12" t="s">
        <v>30</v>
      </c>
      <c r="AN57" s="14" t="s">
        <v>286</v>
      </c>
      <c r="AO57" s="14" t="s">
        <v>283</v>
      </c>
    </row>
    <row r="58" spans="33:41">
      <c r="AG58" s="10" t="s">
        <v>287</v>
      </c>
      <c r="AH58" s="11">
        <v>1109</v>
      </c>
      <c r="AI58" s="12" t="s">
        <v>14</v>
      </c>
      <c r="AJ58" s="12" t="s">
        <v>21</v>
      </c>
      <c r="AK58" s="12" t="s">
        <v>71</v>
      </c>
      <c r="AL58" s="12" t="s">
        <v>288</v>
      </c>
      <c r="AM58" s="12" t="s">
        <v>174</v>
      </c>
      <c r="AN58" s="14" t="s">
        <v>289</v>
      </c>
      <c r="AO58" s="14" t="s">
        <v>286</v>
      </c>
    </row>
    <row r="59" spans="33:41">
      <c r="AG59" s="10" t="s">
        <v>290</v>
      </c>
      <c r="AH59" s="11">
        <v>1054</v>
      </c>
      <c r="AI59" s="12" t="s">
        <v>14</v>
      </c>
      <c r="AJ59" s="12" t="s">
        <v>21</v>
      </c>
      <c r="AK59" s="12" t="s">
        <v>118</v>
      </c>
      <c r="AL59" s="12" t="s">
        <v>291</v>
      </c>
      <c r="AM59" s="12" t="s">
        <v>120</v>
      </c>
      <c r="AN59" s="14" t="s">
        <v>121</v>
      </c>
      <c r="AO59" s="14" t="s">
        <v>289</v>
      </c>
    </row>
    <row r="60" spans="33:41">
      <c r="AG60" s="10" t="s">
        <v>292</v>
      </c>
      <c r="AH60" s="11">
        <v>1126</v>
      </c>
      <c r="AI60" s="12" t="s">
        <v>14</v>
      </c>
      <c r="AJ60" s="12" t="s">
        <v>21</v>
      </c>
      <c r="AK60" s="12" t="s">
        <v>145</v>
      </c>
      <c r="AL60" s="12" t="s">
        <v>293</v>
      </c>
      <c r="AM60" s="12" t="s">
        <v>147</v>
      </c>
      <c r="AN60" s="14" t="s">
        <v>294</v>
      </c>
      <c r="AO60" s="17" t="s">
        <v>200</v>
      </c>
    </row>
    <row r="61" spans="33:41">
      <c r="AG61" s="10" t="s">
        <v>295</v>
      </c>
      <c r="AH61" s="11">
        <v>1070</v>
      </c>
      <c r="AI61" s="12" t="s">
        <v>14</v>
      </c>
      <c r="AJ61" s="12" t="s">
        <v>21</v>
      </c>
      <c r="AK61" s="12" t="s">
        <v>16</v>
      </c>
      <c r="AL61" s="12" t="s">
        <v>296</v>
      </c>
      <c r="AM61" s="12" t="s">
        <v>18</v>
      </c>
      <c r="AN61" s="14" t="s">
        <v>297</v>
      </c>
      <c r="AO61" s="14" t="s">
        <v>294</v>
      </c>
    </row>
    <row r="62" spans="33:41">
      <c r="AG62" s="10" t="s">
        <v>298</v>
      </c>
      <c r="AH62" s="11">
        <v>1086</v>
      </c>
      <c r="AI62" s="12" t="s">
        <v>14</v>
      </c>
      <c r="AJ62" s="12" t="s">
        <v>15</v>
      </c>
      <c r="AK62" s="12" t="s">
        <v>91</v>
      </c>
      <c r="AL62" s="12" t="s">
        <v>299</v>
      </c>
      <c r="AM62" s="12" t="s">
        <v>93</v>
      </c>
      <c r="AN62" s="14" t="s">
        <v>300</v>
      </c>
      <c r="AO62" s="14" t="s">
        <v>297</v>
      </c>
    </row>
    <row r="63" spans="33:41">
      <c r="AG63" s="10" t="s">
        <v>301</v>
      </c>
      <c r="AH63" s="11">
        <v>1110</v>
      </c>
      <c r="AI63" s="12" t="s">
        <v>14</v>
      </c>
      <c r="AJ63" s="12" t="s">
        <v>21</v>
      </c>
      <c r="AK63" s="12" t="s">
        <v>71</v>
      </c>
      <c r="AL63" s="12" t="s">
        <v>302</v>
      </c>
      <c r="AM63" s="12" t="s">
        <v>174</v>
      </c>
      <c r="AN63" s="14" t="s">
        <v>303</v>
      </c>
      <c r="AO63" s="14" t="s">
        <v>300</v>
      </c>
    </row>
    <row r="64" spans="33:41">
      <c r="AG64" s="10" t="s">
        <v>304</v>
      </c>
      <c r="AH64" s="11">
        <v>1093</v>
      </c>
      <c r="AI64" s="12" t="s">
        <v>14</v>
      </c>
      <c r="AJ64" s="12" t="s">
        <v>196</v>
      </c>
      <c r="AK64" s="12" t="s">
        <v>35</v>
      </c>
      <c r="AL64" s="12" t="s">
        <v>305</v>
      </c>
      <c r="AM64" s="12" t="s">
        <v>37</v>
      </c>
      <c r="AN64" s="14" t="s">
        <v>306</v>
      </c>
      <c r="AO64" s="14" t="s">
        <v>303</v>
      </c>
    </row>
    <row r="65" spans="33:41">
      <c r="AG65" s="10" t="s">
        <v>307</v>
      </c>
      <c r="AH65" s="11">
        <v>1077</v>
      </c>
      <c r="AI65" s="12" t="s">
        <v>14</v>
      </c>
      <c r="AJ65" s="12" t="s">
        <v>15</v>
      </c>
      <c r="AK65" s="12" t="s">
        <v>28</v>
      </c>
      <c r="AL65" s="12" t="s">
        <v>308</v>
      </c>
      <c r="AM65" s="12" t="s">
        <v>128</v>
      </c>
      <c r="AN65" s="14" t="s">
        <v>309</v>
      </c>
      <c r="AO65" s="14" t="s">
        <v>306</v>
      </c>
    </row>
    <row r="66" spans="33:41">
      <c r="AG66" s="10" t="s">
        <v>310</v>
      </c>
      <c r="AH66" s="11">
        <v>1064</v>
      </c>
      <c r="AI66" s="12" t="s">
        <v>14</v>
      </c>
      <c r="AJ66" s="12" t="s">
        <v>15</v>
      </c>
      <c r="AK66" s="12" t="s">
        <v>22</v>
      </c>
      <c r="AL66" s="12" t="s">
        <v>311</v>
      </c>
      <c r="AM66" s="12" t="s">
        <v>24</v>
      </c>
      <c r="AN66" s="14" t="s">
        <v>312</v>
      </c>
      <c r="AO66" s="55" t="s">
        <v>148</v>
      </c>
    </row>
    <row r="67" spans="33:41">
      <c r="AG67" s="10" t="s">
        <v>313</v>
      </c>
      <c r="AH67" s="11">
        <v>1097</v>
      </c>
      <c r="AI67" s="12" t="s">
        <v>14</v>
      </c>
      <c r="AJ67" s="12" t="s">
        <v>90</v>
      </c>
      <c r="AK67" s="12" t="s">
        <v>35</v>
      </c>
      <c r="AL67" s="12" t="s">
        <v>314</v>
      </c>
      <c r="AM67" s="12" t="s">
        <v>37</v>
      </c>
      <c r="AN67" s="14" t="s">
        <v>315</v>
      </c>
      <c r="AO67" s="55" t="s">
        <v>148</v>
      </c>
    </row>
    <row r="68" spans="33:41">
      <c r="AG68" s="10" t="s">
        <v>316</v>
      </c>
      <c r="AH68" s="11">
        <v>1071</v>
      </c>
      <c r="AI68" s="12" t="s">
        <v>14</v>
      </c>
      <c r="AJ68" s="12" t="s">
        <v>21</v>
      </c>
      <c r="AK68" s="12" t="s">
        <v>16</v>
      </c>
      <c r="AL68" s="12" t="s">
        <v>317</v>
      </c>
      <c r="AM68" s="12" t="s">
        <v>18</v>
      </c>
      <c r="AN68" s="14" t="s">
        <v>318</v>
      </c>
      <c r="AO68" s="14" t="s">
        <v>309</v>
      </c>
    </row>
    <row r="69" spans="33:41">
      <c r="AG69" s="10" t="s">
        <v>319</v>
      </c>
      <c r="AH69" s="11">
        <v>1102</v>
      </c>
      <c r="AI69" s="12" t="s">
        <v>14</v>
      </c>
      <c r="AJ69" s="12" t="s">
        <v>21</v>
      </c>
      <c r="AK69" s="12" t="s">
        <v>35</v>
      </c>
      <c r="AL69" s="12" t="s">
        <v>320</v>
      </c>
      <c r="AM69" s="12" t="s">
        <v>37</v>
      </c>
      <c r="AN69" s="14" t="s">
        <v>238</v>
      </c>
      <c r="AO69" s="14" t="s">
        <v>312</v>
      </c>
    </row>
    <row r="70" spans="33:41">
      <c r="AG70" s="10" t="s">
        <v>321</v>
      </c>
      <c r="AH70" s="11">
        <v>1107</v>
      </c>
      <c r="AI70" s="12" t="s">
        <v>322</v>
      </c>
      <c r="AJ70" s="12" t="s">
        <v>323</v>
      </c>
      <c r="AK70" s="12" t="s">
        <v>71</v>
      </c>
      <c r="AL70" s="12" t="s">
        <v>174</v>
      </c>
      <c r="AM70" s="12"/>
      <c r="AO70" s="14" t="s">
        <v>315</v>
      </c>
    </row>
    <row r="71" spans="33:41">
      <c r="AG71" s="10" t="s">
        <v>324</v>
      </c>
      <c r="AH71" s="11">
        <v>2061</v>
      </c>
      <c r="AI71" s="12" t="s">
        <v>325</v>
      </c>
      <c r="AJ71" s="12" t="s">
        <v>326</v>
      </c>
      <c r="AK71" s="12" t="s">
        <v>43</v>
      </c>
      <c r="AL71" s="12" t="s">
        <v>327</v>
      </c>
      <c r="AM71" s="12" t="s">
        <v>45</v>
      </c>
      <c r="AN71" s="14" t="s">
        <v>80</v>
      </c>
      <c r="AO71" s="14" t="s">
        <v>318</v>
      </c>
    </row>
    <row r="72" spans="33:41">
      <c r="AG72" s="10" t="s">
        <v>328</v>
      </c>
      <c r="AH72" s="11">
        <v>2062</v>
      </c>
      <c r="AI72" s="12" t="s">
        <v>325</v>
      </c>
      <c r="AJ72" s="12" t="s">
        <v>326</v>
      </c>
      <c r="AK72" s="12" t="s">
        <v>50</v>
      </c>
      <c r="AL72" s="12" t="s">
        <v>329</v>
      </c>
      <c r="AM72" s="12" t="s">
        <v>52</v>
      </c>
      <c r="AN72" s="14" t="s">
        <v>103</v>
      </c>
    </row>
    <row r="73" spans="33:41">
      <c r="AG73" s="10" t="s">
        <v>330</v>
      </c>
      <c r="AH73" s="11">
        <v>2064</v>
      </c>
      <c r="AI73" s="12" t="s">
        <v>325</v>
      </c>
      <c r="AJ73" s="12" t="s">
        <v>326</v>
      </c>
      <c r="AK73" s="12" t="s">
        <v>22</v>
      </c>
      <c r="AL73" s="12" t="s">
        <v>331</v>
      </c>
      <c r="AM73" s="12" t="s">
        <v>24</v>
      </c>
      <c r="AN73" s="14" t="s">
        <v>193</v>
      </c>
    </row>
    <row r="74" spans="33:41">
      <c r="AG74" s="10" t="s">
        <v>332</v>
      </c>
      <c r="AH74" s="11">
        <v>2065</v>
      </c>
      <c r="AI74" s="12" t="s">
        <v>325</v>
      </c>
      <c r="AJ74" s="12" t="s">
        <v>326</v>
      </c>
      <c r="AK74" s="12" t="s">
        <v>71</v>
      </c>
      <c r="AL74" s="12" t="s">
        <v>333</v>
      </c>
      <c r="AM74" s="12" t="s">
        <v>174</v>
      </c>
      <c r="AN74" s="14" t="s">
        <v>228</v>
      </c>
    </row>
    <row r="75" spans="33:41">
      <c r="AG75" s="10" t="s">
        <v>334</v>
      </c>
      <c r="AH75" s="11">
        <v>2063</v>
      </c>
      <c r="AI75" s="12" t="s">
        <v>325</v>
      </c>
      <c r="AJ75" s="12" t="s">
        <v>326</v>
      </c>
      <c r="AK75" s="12" t="s">
        <v>197</v>
      </c>
      <c r="AL75" s="12" t="s">
        <v>335</v>
      </c>
      <c r="AM75" s="12" t="s">
        <v>199</v>
      </c>
      <c r="AN75" s="14" t="s">
        <v>254</v>
      </c>
    </row>
    <row r="76" spans="33:41">
      <c r="AG76" s="10" t="s">
        <v>336</v>
      </c>
      <c r="AH76" s="11">
        <v>2060</v>
      </c>
      <c r="AI76" s="12" t="s">
        <v>325</v>
      </c>
      <c r="AJ76" s="12" t="s">
        <v>326</v>
      </c>
      <c r="AK76" s="12" t="s">
        <v>118</v>
      </c>
      <c r="AL76" s="12" t="s">
        <v>337</v>
      </c>
      <c r="AM76" s="12" t="s">
        <v>120</v>
      </c>
      <c r="AN76" s="14" t="s">
        <v>121</v>
      </c>
    </row>
    <row r="77" spans="33:41">
      <c r="AG77" s="10" t="s">
        <v>338</v>
      </c>
      <c r="AH77" s="11">
        <v>2269</v>
      </c>
      <c r="AI77" s="12" t="s">
        <v>339</v>
      </c>
      <c r="AJ77" s="12" t="s">
        <v>340</v>
      </c>
      <c r="AK77" s="12" t="s">
        <v>118</v>
      </c>
      <c r="AL77" s="12" t="s">
        <v>341</v>
      </c>
      <c r="AM77" s="12"/>
    </row>
    <row r="78" spans="33:41">
      <c r="AG78" s="10" t="s">
        <v>342</v>
      </c>
      <c r="AH78" s="11">
        <v>2091</v>
      </c>
      <c r="AI78" s="12" t="s">
        <v>339</v>
      </c>
      <c r="AJ78" s="12" t="s">
        <v>340</v>
      </c>
      <c r="AK78" s="12" t="s">
        <v>16</v>
      </c>
      <c r="AL78" s="12" t="s">
        <v>343</v>
      </c>
      <c r="AM78" s="12" t="s">
        <v>18</v>
      </c>
    </row>
    <row r="79" spans="33:41">
      <c r="AG79" s="10" t="s">
        <v>344</v>
      </c>
      <c r="AH79" s="11">
        <v>2945</v>
      </c>
      <c r="AI79" s="12" t="s">
        <v>322</v>
      </c>
      <c r="AJ79" s="12" t="s">
        <v>345</v>
      </c>
      <c r="AK79" s="12"/>
      <c r="AL79" s="12" t="s">
        <v>346</v>
      </c>
      <c r="AM79" s="12" t="s">
        <v>347</v>
      </c>
    </row>
    <row r="80" spans="33:41">
      <c r="AG80" s="10" t="s">
        <v>348</v>
      </c>
      <c r="AH80" s="11">
        <v>1085</v>
      </c>
      <c r="AI80" s="12" t="s">
        <v>322</v>
      </c>
      <c r="AJ80" s="12" t="s">
        <v>323</v>
      </c>
      <c r="AK80" s="12" t="s">
        <v>91</v>
      </c>
      <c r="AL80" s="12" t="s">
        <v>349</v>
      </c>
      <c r="AM80" s="12"/>
    </row>
    <row r="81" spans="33:39">
      <c r="AG81" s="10" t="s">
        <v>350</v>
      </c>
      <c r="AH81" s="11">
        <v>1053</v>
      </c>
      <c r="AI81" s="12" t="s">
        <v>322</v>
      </c>
      <c r="AJ81" s="12" t="s">
        <v>323</v>
      </c>
      <c r="AK81" s="12" t="s">
        <v>118</v>
      </c>
      <c r="AL81" s="12" t="s">
        <v>120</v>
      </c>
      <c r="AM81" s="12"/>
    </row>
    <row r="82" spans="33:39">
      <c r="AG82" s="10" t="s">
        <v>351</v>
      </c>
      <c r="AH82" s="11">
        <v>1096</v>
      </c>
      <c r="AI82" s="12" t="s">
        <v>322</v>
      </c>
      <c r="AJ82" s="12" t="s">
        <v>323</v>
      </c>
      <c r="AK82" s="12" t="s">
        <v>35</v>
      </c>
      <c r="AL82" s="12" t="s">
        <v>37</v>
      </c>
      <c r="AM82" s="12"/>
    </row>
    <row r="83" spans="33:39">
      <c r="AG83" s="10" t="s">
        <v>352</v>
      </c>
      <c r="AH83" s="11">
        <v>1076</v>
      </c>
      <c r="AI83" s="12" t="s">
        <v>322</v>
      </c>
      <c r="AJ83" s="12" t="s">
        <v>353</v>
      </c>
      <c r="AK83" s="12" t="s">
        <v>28</v>
      </c>
      <c r="AL83" s="12" t="s">
        <v>128</v>
      </c>
      <c r="AM83" s="12"/>
    </row>
    <row r="84" spans="33:39">
      <c r="AG84" s="10" t="s">
        <v>354</v>
      </c>
      <c r="AH84" s="11">
        <v>1060</v>
      </c>
      <c r="AI84" s="12" t="s">
        <v>322</v>
      </c>
      <c r="AJ84" s="12" t="s">
        <v>355</v>
      </c>
      <c r="AK84" s="12" t="s">
        <v>22</v>
      </c>
      <c r="AL84" s="12" t="s">
        <v>356</v>
      </c>
      <c r="AM84" s="12"/>
    </row>
    <row r="85" spans="33:39">
      <c r="AG85" s="10" t="s">
        <v>357</v>
      </c>
      <c r="AH85" s="11">
        <v>1104</v>
      </c>
      <c r="AI85" s="12" t="s">
        <v>322</v>
      </c>
      <c r="AJ85" s="12" t="s">
        <v>355</v>
      </c>
      <c r="AK85" s="12" t="s">
        <v>222</v>
      </c>
      <c r="AL85" s="12" t="s">
        <v>358</v>
      </c>
      <c r="AM85" s="12"/>
    </row>
    <row r="86" spans="33:39">
      <c r="AG86" s="10" t="s">
        <v>359</v>
      </c>
      <c r="AH86" s="11">
        <v>1090</v>
      </c>
      <c r="AI86" s="12" t="s">
        <v>322</v>
      </c>
      <c r="AJ86" s="12" t="s">
        <v>353</v>
      </c>
      <c r="AK86" s="12" t="s">
        <v>207</v>
      </c>
      <c r="AL86" s="12" t="s">
        <v>209</v>
      </c>
      <c r="AM86" s="12"/>
    </row>
    <row r="87" spans="33:39">
      <c r="AG87" s="10" t="s">
        <v>360</v>
      </c>
      <c r="AH87" s="11">
        <v>1080</v>
      </c>
      <c r="AI87" s="12" t="s">
        <v>322</v>
      </c>
      <c r="AJ87" s="12" t="s">
        <v>353</v>
      </c>
      <c r="AK87" s="12" t="s">
        <v>50</v>
      </c>
      <c r="AL87" s="12" t="s">
        <v>65</v>
      </c>
      <c r="AM87" s="12"/>
    </row>
    <row r="88" spans="33:39">
      <c r="AG88" s="10" t="s">
        <v>361</v>
      </c>
      <c r="AH88" s="11">
        <v>1066</v>
      </c>
      <c r="AI88" s="12" t="s">
        <v>322</v>
      </c>
      <c r="AJ88" s="12" t="s">
        <v>355</v>
      </c>
      <c r="AK88" s="12" t="s">
        <v>16</v>
      </c>
      <c r="AL88" s="12" t="s">
        <v>362</v>
      </c>
      <c r="AM88" s="12" t="s">
        <v>18</v>
      </c>
    </row>
    <row r="89" spans="33:39">
      <c r="AG89" s="10" t="s">
        <v>363</v>
      </c>
      <c r="AH89" s="11">
        <v>3070</v>
      </c>
      <c r="AI89" s="12" t="s">
        <v>322</v>
      </c>
      <c r="AJ89" s="12" t="s">
        <v>355</v>
      </c>
      <c r="AK89" s="12" t="s">
        <v>197</v>
      </c>
      <c r="AL89" s="12" t="s">
        <v>364</v>
      </c>
      <c r="AM89" s="138"/>
    </row>
  </sheetData>
  <sheetProtection password="C771" sheet="1" selectLockedCells="1"/>
  <autoFilter ref="AG1:AM89"/>
  <mergeCells count="41">
    <mergeCell ref="B41:C41"/>
    <mergeCell ref="E41:F41"/>
    <mergeCell ref="B42:C42"/>
    <mergeCell ref="E43:F43"/>
    <mergeCell ref="B34:C34"/>
    <mergeCell ref="A35:B36"/>
    <mergeCell ref="C35:E35"/>
    <mergeCell ref="C36:E36"/>
    <mergeCell ref="B38:C38"/>
    <mergeCell ref="E38:F38"/>
    <mergeCell ref="B33:C33"/>
    <mergeCell ref="X23:Z23"/>
    <mergeCell ref="AB23:AD23"/>
    <mergeCell ref="B24:C24"/>
    <mergeCell ref="B25:C25"/>
    <mergeCell ref="B26:C26"/>
    <mergeCell ref="B27:C27"/>
    <mergeCell ref="S23:V23"/>
    <mergeCell ref="B28:C28"/>
    <mergeCell ref="B29:C29"/>
    <mergeCell ref="B30:C30"/>
    <mergeCell ref="B31:C31"/>
    <mergeCell ref="B32:C32"/>
    <mergeCell ref="A14:F14"/>
    <mergeCell ref="B16:C16"/>
    <mergeCell ref="E16:F16"/>
    <mergeCell ref="B18:C18"/>
    <mergeCell ref="N23:Q23"/>
    <mergeCell ref="A13:F13"/>
    <mergeCell ref="C1:D1"/>
    <mergeCell ref="E1:F1"/>
    <mergeCell ref="C5:F6"/>
    <mergeCell ref="A7:B7"/>
    <mergeCell ref="C7:F7"/>
    <mergeCell ref="A8:B8"/>
    <mergeCell ref="C8:F8"/>
    <mergeCell ref="C9:F9"/>
    <mergeCell ref="C10:F10"/>
    <mergeCell ref="A11:B11"/>
    <mergeCell ref="C11:F11"/>
    <mergeCell ref="A12:F12"/>
  </mergeCells>
  <dataValidations count="3">
    <dataValidation type="list" allowBlank="1" showInputMessage="1" showErrorMessage="1" sqref="C10:F10">
      <formula1>$AL$2:$AL$76</formula1>
    </dataValidation>
    <dataValidation type="list" allowBlank="1" showInputMessage="1" showErrorMessage="1" sqref="B16:C16">
      <formula1>$AO$2:$AO$71</formula1>
    </dataValidation>
    <dataValidation type="list" allowBlank="1" showInputMessage="1" showErrorMessage="1" sqref="E1:F1">
      <formula1>$J$5:$J$15</formula1>
    </dataValidation>
  </dataValidations>
  <printOptions horizontalCentered="1"/>
  <pageMargins left="0.78740157480314965" right="0.78740157480314965" top="0.51181102362204722" bottom="0.51181102362204722" header="0.51181102362204722" footer="0.51181102362204722"/>
  <pageSetup paperSize="9" orientation="portrait" blackAndWhite="1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C32"/>
  <sheetViews>
    <sheetView showGridLines="0" showRowColHeaders="0" topLeftCell="A5" zoomScale="145" workbookViewId="0">
      <selection activeCell="B1" sqref="B1"/>
    </sheetView>
  </sheetViews>
  <sheetFormatPr baseColWidth="10" defaultColWidth="9.1640625" defaultRowHeight="20" customHeight="1" x14ac:dyDescent="0"/>
  <cols>
    <col min="1" max="1" width="22.6640625" style="149" customWidth="1"/>
    <col min="2" max="2" width="22.6640625" style="153" customWidth="1"/>
    <col min="3" max="3" width="22.6640625" style="149" customWidth="1"/>
    <col min="4" max="4" width="3.83203125" style="149" customWidth="1"/>
    <col min="5" max="5" width="15.83203125" style="149" bestFit="1" customWidth="1"/>
    <col min="6" max="6" width="11.1640625" style="149" bestFit="1" customWidth="1"/>
    <col min="7" max="16384" width="9.1640625" style="149"/>
  </cols>
  <sheetData>
    <row r="1" spans="1:3" s="144" customFormat="1" ht="20" customHeight="1">
      <c r="A1" s="141" t="s">
        <v>365</v>
      </c>
      <c r="B1" s="142">
        <f>'Obrazac 4'!E16</f>
        <v>43330</v>
      </c>
      <c r="C1" s="143"/>
    </row>
    <row r="2" spans="1:3" s="144" customFormat="1" ht="20" hidden="1" customHeight="1">
      <c r="A2" s="145">
        <f>DAY(B1)</f>
        <v>18</v>
      </c>
      <c r="B2" s="145">
        <f>MONTH(B1)</f>
        <v>8</v>
      </c>
      <c r="C2" s="145">
        <f>YEAR(B1)</f>
        <v>2018</v>
      </c>
    </row>
    <row r="3" spans="1:3" s="144" customFormat="1" ht="20" customHeight="1">
      <c r="A3" s="146" t="s">
        <v>366</v>
      </c>
      <c r="B3" s="146" t="s">
        <v>367</v>
      </c>
      <c r="C3" s="145" t="s">
        <v>368</v>
      </c>
    </row>
    <row r="4" spans="1:3" s="144" customFormat="1" ht="20" customHeight="1">
      <c r="A4" s="197" t="s">
        <v>369</v>
      </c>
      <c r="B4" s="198"/>
      <c r="C4" s="199"/>
    </row>
    <row r="5" spans="1:3" s="144" customFormat="1" ht="20" customHeight="1">
      <c r="A5" s="147">
        <f>DATE(C2-C5,B2,A2+1)</f>
        <v>41140</v>
      </c>
      <c r="B5" s="147">
        <f>DATE(YEAR(A5),12,31)</f>
        <v>41274</v>
      </c>
      <c r="C5" s="148">
        <v>6</v>
      </c>
    </row>
    <row r="6" spans="1:3" s="144" customFormat="1" ht="20" customHeight="1">
      <c r="A6" s="147">
        <f>DATE(YEAR(B6),1,1)</f>
        <v>40909</v>
      </c>
      <c r="B6" s="147">
        <f t="shared" ref="B6:B18" si="0">A5-1</f>
        <v>41139</v>
      </c>
      <c r="C6" s="148">
        <v>6</v>
      </c>
    </row>
    <row r="7" spans="1:3" s="144" customFormat="1" ht="20" customHeight="1">
      <c r="A7" s="147">
        <f>DATE(SUM(YEAR(A5)-1),MONTH(A5),DAY(A5))</f>
        <v>40774</v>
      </c>
      <c r="B7" s="147">
        <f t="shared" si="0"/>
        <v>40908</v>
      </c>
      <c r="C7" s="148">
        <v>6</v>
      </c>
    </row>
    <row r="8" spans="1:3" s="144" customFormat="1" ht="20" customHeight="1">
      <c r="A8" s="147">
        <f>DATE(YEAR(B8),1,1)</f>
        <v>40544</v>
      </c>
      <c r="B8" s="147">
        <f t="shared" si="0"/>
        <v>40773</v>
      </c>
      <c r="C8" s="148">
        <v>7</v>
      </c>
    </row>
    <row r="9" spans="1:3" s="144" customFormat="1" ht="20" customHeight="1">
      <c r="A9" s="147">
        <f>DATE(SUM(YEAR(A7)-1),MONTH(A7),DAY(A7))</f>
        <v>40409</v>
      </c>
      <c r="B9" s="147">
        <f t="shared" si="0"/>
        <v>40543</v>
      </c>
      <c r="C9" s="148">
        <v>7</v>
      </c>
    </row>
    <row r="10" spans="1:3" s="144" customFormat="1" ht="20" customHeight="1">
      <c r="A10" s="147">
        <f>DATE(YEAR(B10),1,1)</f>
        <v>40179</v>
      </c>
      <c r="B10" s="147">
        <f t="shared" si="0"/>
        <v>40408</v>
      </c>
      <c r="C10" s="148">
        <v>8</v>
      </c>
    </row>
    <row r="11" spans="1:3" s="144" customFormat="1" ht="20" customHeight="1">
      <c r="A11" s="147">
        <f>DATE(SUM(YEAR(A9)-1),MONTH(A9),DAY(A9))</f>
        <v>40044</v>
      </c>
      <c r="B11" s="147">
        <f t="shared" si="0"/>
        <v>40178</v>
      </c>
      <c r="C11" s="148">
        <v>8</v>
      </c>
    </row>
    <row r="12" spans="1:3" ht="20" customHeight="1">
      <c r="A12" s="147">
        <f>DATE(YEAR(B12),1,1)</f>
        <v>39814</v>
      </c>
      <c r="B12" s="147">
        <f t="shared" si="0"/>
        <v>40043</v>
      </c>
      <c r="C12" s="148">
        <v>9</v>
      </c>
    </row>
    <row r="13" spans="1:3" ht="20" customHeight="1">
      <c r="A13" s="147">
        <f>DATE(SUM(YEAR(A11)-1),MONTH(A11),DAY(A11))</f>
        <v>39679</v>
      </c>
      <c r="B13" s="147">
        <f t="shared" si="0"/>
        <v>39813</v>
      </c>
      <c r="C13" s="148">
        <v>9</v>
      </c>
    </row>
    <row r="14" spans="1:3" ht="20" customHeight="1">
      <c r="A14" s="147">
        <f>DATE(YEAR(B14),1,1)</f>
        <v>39448</v>
      </c>
      <c r="B14" s="147">
        <f t="shared" si="0"/>
        <v>39678</v>
      </c>
      <c r="C14" s="148">
        <v>10</v>
      </c>
    </row>
    <row r="15" spans="1:3" ht="20" customHeight="1">
      <c r="A15" s="147">
        <f>DATE(SUM(YEAR(A13)-1),MONTH(A13),DAY(A13))</f>
        <v>39313</v>
      </c>
      <c r="B15" s="147">
        <f t="shared" si="0"/>
        <v>39447</v>
      </c>
      <c r="C15" s="148">
        <v>10</v>
      </c>
    </row>
    <row r="16" spans="1:3" ht="20" customHeight="1">
      <c r="A16" s="147">
        <f>DATE(YEAR(B16),1,1)</f>
        <v>39083</v>
      </c>
      <c r="B16" s="147">
        <f t="shared" si="0"/>
        <v>39312</v>
      </c>
      <c r="C16" s="148">
        <v>11</v>
      </c>
    </row>
    <row r="17" spans="1:3" ht="20" customHeight="1">
      <c r="A17" s="147">
        <f>DATE(SUM(YEAR(A15)-1),MONTH(A15),DAY(A15))</f>
        <v>38948</v>
      </c>
      <c r="B17" s="147">
        <f t="shared" si="0"/>
        <v>39082</v>
      </c>
      <c r="C17" s="148">
        <v>11</v>
      </c>
    </row>
    <row r="18" spans="1:3" ht="20" customHeight="1">
      <c r="A18" s="147">
        <f>DATE(YEAR(B18),1,1)</f>
        <v>38718</v>
      </c>
      <c r="B18" s="147">
        <f t="shared" si="0"/>
        <v>38947</v>
      </c>
      <c r="C18" s="148">
        <v>12</v>
      </c>
    </row>
    <row r="19" spans="1:3" ht="20" hidden="1" customHeight="1">
      <c r="A19" s="145" t="s">
        <v>365</v>
      </c>
      <c r="B19" s="150">
        <f>B1</f>
        <v>43330</v>
      </c>
      <c r="C19" s="145"/>
    </row>
    <row r="20" spans="1:3" ht="20" hidden="1" customHeight="1">
      <c r="A20" s="145">
        <f>DAY(B19)</f>
        <v>18</v>
      </c>
      <c r="B20" s="145">
        <f>MONTH(B19)</f>
        <v>8</v>
      </c>
      <c r="C20" s="145">
        <f>YEAR(B19)</f>
        <v>2018</v>
      </c>
    </row>
    <row r="21" spans="1:3" ht="20" hidden="1" customHeight="1">
      <c r="A21" s="146" t="s">
        <v>366</v>
      </c>
      <c r="B21" s="146" t="s">
        <v>367</v>
      </c>
      <c r="C21" s="145" t="s">
        <v>368</v>
      </c>
    </row>
    <row r="22" spans="1:3" ht="20" customHeight="1">
      <c r="A22" s="200" t="s">
        <v>370</v>
      </c>
      <c r="B22" s="201"/>
      <c r="C22" s="202"/>
    </row>
    <row r="23" spans="1:3" ht="20" customHeight="1">
      <c r="A23" s="151">
        <f>DATE(C20-C23,B20,A20+1)</f>
        <v>38948</v>
      </c>
      <c r="B23" s="151">
        <f>DATE(YEAR(A23),12,31)</f>
        <v>39082</v>
      </c>
      <c r="C23" s="152">
        <v>12</v>
      </c>
    </row>
    <row r="24" spans="1:3" ht="20" customHeight="1">
      <c r="A24" s="151">
        <f>DATE(YEAR(B24),1,1)</f>
        <v>38718</v>
      </c>
      <c r="B24" s="151">
        <f t="shared" ref="B24:B32" si="1">A23-1</f>
        <v>38947</v>
      </c>
      <c r="C24" s="152">
        <v>12</v>
      </c>
    </row>
    <row r="25" spans="1:3" ht="20" customHeight="1">
      <c r="A25" s="151">
        <f>DATE(SUM(YEAR(A23)-1),MONTH(A23),DAY(A23))</f>
        <v>38583</v>
      </c>
      <c r="B25" s="151">
        <f t="shared" si="1"/>
        <v>38717</v>
      </c>
      <c r="C25" s="152">
        <v>12</v>
      </c>
    </row>
    <row r="26" spans="1:3" ht="20" customHeight="1">
      <c r="A26" s="151">
        <f>DATE(YEAR(B26),1,1)</f>
        <v>38353</v>
      </c>
      <c r="B26" s="151">
        <f t="shared" si="1"/>
        <v>38582</v>
      </c>
      <c r="C26" s="152">
        <v>13</v>
      </c>
    </row>
    <row r="27" spans="1:3" ht="20" customHeight="1">
      <c r="A27" s="151">
        <f>DATE(SUM(YEAR(A25)-1),MONTH(A25),DAY(A25))</f>
        <v>38218</v>
      </c>
      <c r="B27" s="151">
        <f t="shared" si="1"/>
        <v>38352</v>
      </c>
      <c r="C27" s="152">
        <v>13</v>
      </c>
    </row>
    <row r="28" spans="1:3" ht="20" customHeight="1">
      <c r="A28" s="151">
        <f>DATE(YEAR(B28),1,1)</f>
        <v>37987</v>
      </c>
      <c r="B28" s="151">
        <f t="shared" si="1"/>
        <v>38217</v>
      </c>
      <c r="C28" s="152">
        <v>14</v>
      </c>
    </row>
    <row r="29" spans="1:3" ht="20" customHeight="1">
      <c r="A29" s="151">
        <f>DATE(SUM(YEAR(A27)-1),MONTH(A27),DAY(A27))</f>
        <v>37852</v>
      </c>
      <c r="B29" s="151">
        <f t="shared" si="1"/>
        <v>37986</v>
      </c>
      <c r="C29" s="152">
        <v>14</v>
      </c>
    </row>
    <row r="30" spans="1:3" ht="20" customHeight="1">
      <c r="A30" s="151">
        <f>DATE(YEAR(B30),1,1)</f>
        <v>37622</v>
      </c>
      <c r="B30" s="151">
        <f t="shared" si="1"/>
        <v>37851</v>
      </c>
      <c r="C30" s="152">
        <v>15</v>
      </c>
    </row>
    <row r="31" spans="1:3" ht="20" customHeight="1">
      <c r="A31" s="151">
        <f>DATE(SUM(YEAR(A29)-1),MONTH(A29),DAY(A29))</f>
        <v>37487</v>
      </c>
      <c r="B31" s="151">
        <f t="shared" si="1"/>
        <v>37621</v>
      </c>
      <c r="C31" s="152">
        <v>15</v>
      </c>
    </row>
    <row r="32" spans="1:3" ht="20" customHeight="1">
      <c r="A32" s="151">
        <f>DATE(YEAR(B32),1,1)</f>
        <v>37257</v>
      </c>
      <c r="B32" s="151">
        <f t="shared" si="1"/>
        <v>37486</v>
      </c>
      <c r="C32" s="152">
        <v>16</v>
      </c>
    </row>
  </sheetData>
  <sheetProtection password="C550" sheet="1" objects="1" scenarios="1" selectLockedCells="1"/>
  <mergeCells count="2">
    <mergeCell ref="A4:C4"/>
    <mergeCell ref="A22:C22"/>
  </mergeCells>
  <printOptions horizontalCentered="1"/>
  <pageMargins left="0.74803149606299213" right="0.74803149606299213" top="0.98425196850393704" bottom="0.98425196850393704" header="0.51181102362204722" footer="0.51181102362204722"/>
  <pageSetup orientation="portrait" blackAndWhite="1" horizontalDpi="1200" verticalDpi="1200"/>
  <headerFooter alignWithMargins="0">
    <oddHeader>&amp;LVZ PGŽ&amp;CObračun godina za djecu i mladež</oddHead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Obrazac 4</vt:lpstr>
      <vt:lpstr>Obracun godina-djeca (datum)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Klaudijo Filcic</dc:creator>
  <cp:lastModifiedBy>Nikola Tramontana</cp:lastModifiedBy>
  <dcterms:created xsi:type="dcterms:W3CDTF">2017-05-09T12:51:09Z</dcterms:created>
  <dcterms:modified xsi:type="dcterms:W3CDTF">2018-07-19T10:24:10Z</dcterms:modified>
</cp:coreProperties>
</file>